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132" windowWidth="19128" windowHeight="7068" activeTab="1"/>
  </bookViews>
  <sheets>
    <sheet name="Chart1" sheetId="4" r:id="rId1"/>
    <sheet name="Sheet1" sheetId="1" r:id="rId2"/>
    <sheet name="Sheet2" sheetId="2" r:id="rId3"/>
    <sheet name="Sheet3" sheetId="3" r:id="rId4"/>
  </sheets>
  <calcPr calcId="124519"/>
</workbook>
</file>

<file path=xl/calcChain.xml><?xml version="1.0" encoding="utf-8"?>
<calcChain xmlns="http://schemas.openxmlformats.org/spreadsheetml/2006/main">
  <c r="P59" i="1"/>
  <c r="P58"/>
  <c r="P60" s="1"/>
  <c r="P57"/>
  <c r="P56"/>
  <c r="P55"/>
  <c r="P52"/>
  <c r="P51"/>
  <c r="P53" s="1"/>
  <c r="P49"/>
  <c r="P50" s="1"/>
  <c r="P48"/>
  <c r="G35"/>
  <c r="N38"/>
  <c r="L35"/>
  <c r="L34"/>
  <c r="E60" l="1"/>
  <c r="E59"/>
  <c r="O110"/>
  <c r="O109"/>
  <c r="O111" s="1"/>
  <c r="O112" s="1"/>
  <c r="D87"/>
  <c r="F82"/>
  <c r="P105"/>
  <c r="P95"/>
  <c r="P85"/>
  <c r="AK85"/>
  <c r="AK95"/>
  <c r="AK105"/>
  <c r="AD105"/>
  <c r="W105"/>
  <c r="W95"/>
  <c r="AD85"/>
  <c r="W85"/>
  <c r="AK104"/>
  <c r="AD104"/>
  <c r="AK103"/>
  <c r="AD103"/>
  <c r="AK102"/>
  <c r="AD102"/>
  <c r="AK101"/>
  <c r="AD101"/>
  <c r="AK100"/>
  <c r="AD100"/>
  <c r="AK99"/>
  <c r="AD99"/>
  <c r="AK98"/>
  <c r="AD98"/>
  <c r="AK94"/>
  <c r="AD94"/>
  <c r="AK93"/>
  <c r="AD93"/>
  <c r="AK92"/>
  <c r="AD92"/>
  <c r="AK91"/>
  <c r="AD91"/>
  <c r="AK90"/>
  <c r="AD90"/>
  <c r="AK89"/>
  <c r="AD89"/>
  <c r="AK88"/>
  <c r="AD88"/>
  <c r="AD95" s="1"/>
  <c r="AK84"/>
  <c r="AD84"/>
  <c r="AK83"/>
  <c r="AD83"/>
  <c r="AK82"/>
  <c r="AD82"/>
  <c r="AK81"/>
  <c r="AD81"/>
  <c r="AK80"/>
  <c r="AD80"/>
  <c r="J108"/>
  <c r="J106"/>
  <c r="W104"/>
  <c r="W103"/>
  <c r="W102"/>
  <c r="W101"/>
  <c r="W100"/>
  <c r="W99"/>
  <c r="W98"/>
  <c r="W94"/>
  <c r="W93"/>
  <c r="W92"/>
  <c r="W91"/>
  <c r="W90"/>
  <c r="W89"/>
  <c r="W88"/>
  <c r="W84"/>
  <c r="W83"/>
  <c r="W82"/>
  <c r="W81"/>
  <c r="W80"/>
  <c r="P104"/>
  <c r="P103"/>
  <c r="P102"/>
  <c r="P101"/>
  <c r="P100"/>
  <c r="P99"/>
  <c r="P98"/>
  <c r="AW93"/>
  <c r="AW91"/>
  <c r="AW90"/>
  <c r="AX91" s="1"/>
  <c r="AW89"/>
  <c r="AW85"/>
  <c r="AW83"/>
  <c r="AW82"/>
  <c r="AW81"/>
  <c r="P89"/>
  <c r="P90"/>
  <c r="P91"/>
  <c r="P92"/>
  <c r="P93"/>
  <c r="P94"/>
  <c r="P88"/>
  <c r="P81"/>
  <c r="P82"/>
  <c r="P83"/>
  <c r="P84"/>
  <c r="P80"/>
  <c r="W119"/>
  <c r="U117"/>
  <c r="U116"/>
  <c r="X114"/>
  <c r="Y113"/>
  <c r="R29"/>
  <c r="T29" s="1"/>
  <c r="S39"/>
  <c r="U35"/>
  <c r="V35" s="1"/>
  <c r="S37" s="1"/>
  <c r="V38" s="1"/>
  <c r="U34"/>
  <c r="N66"/>
  <c r="N67" s="1"/>
  <c r="N68" s="1"/>
  <c r="G149"/>
  <c r="G150"/>
  <c r="G148"/>
  <c r="G147"/>
  <c r="G146"/>
  <c r="G153"/>
  <c r="G154"/>
  <c r="J87"/>
  <c r="J89" s="1"/>
  <c r="E109"/>
  <c r="G89"/>
  <c r="G88"/>
  <c r="G90" s="1"/>
  <c r="G86"/>
  <c r="G85"/>
  <c r="F76"/>
  <c r="D25"/>
  <c r="L22" l="1"/>
  <c r="L23" s="1"/>
  <c r="L24" s="1"/>
  <c r="AX83"/>
  <c r="U118"/>
  <c r="X119" s="1"/>
  <c r="U121" s="1"/>
  <c r="W121" s="1"/>
  <c r="G87"/>
  <c r="D92" s="1"/>
  <c r="G82" s="1"/>
  <c r="D37"/>
  <c r="L36" s="1"/>
  <c r="L37" s="1"/>
  <c r="F152"/>
  <c r="F145"/>
  <c r="H152"/>
  <c r="J152" s="1"/>
  <c r="H145"/>
  <c r="J145" s="1"/>
  <c r="E141"/>
  <c r="H135"/>
  <c r="J135" s="1"/>
  <c r="F130"/>
  <c r="G130" s="1"/>
  <c r="E132"/>
  <c r="H121"/>
  <c r="J121" s="1"/>
  <c r="H114"/>
  <c r="J114" s="1"/>
  <c r="D111"/>
  <c r="E110" s="1"/>
  <c r="E111" s="1"/>
  <c r="E100"/>
  <c r="D102"/>
  <c r="I86"/>
  <c r="I87" s="1"/>
  <c r="C89"/>
  <c r="D77"/>
  <c r="E76" s="1"/>
  <c r="H64"/>
  <c r="J64" s="1"/>
  <c r="G65"/>
  <c r="E61"/>
  <c r="G59"/>
  <c r="D48"/>
  <c r="D41"/>
  <c r="H28"/>
  <c r="J28" s="1"/>
  <c r="L25" l="1"/>
  <c r="G24"/>
  <c r="H22" s="1"/>
  <c r="J22" s="1"/>
  <c r="H34"/>
  <c r="G107"/>
  <c r="J107" s="1"/>
  <c r="J105" s="1"/>
  <c r="J155"/>
  <c r="F48"/>
  <c r="G51"/>
  <c r="G48" s="1"/>
  <c r="E101"/>
  <c r="G98" s="1"/>
  <c r="H96" s="1"/>
  <c r="J96" s="1"/>
  <c r="G76"/>
  <c r="G73" s="1"/>
  <c r="H71" s="1"/>
  <c r="J71" s="1"/>
  <c r="I88"/>
  <c r="G44"/>
  <c r="G41" s="1"/>
  <c r="H40" s="1"/>
  <c r="J40" s="1"/>
  <c r="H128"/>
  <c r="J128" s="1"/>
  <c r="J34"/>
  <c r="C18"/>
  <c r="D18" s="1"/>
  <c r="D19" s="1"/>
  <c r="H16" s="1"/>
  <c r="J16" s="1"/>
  <c r="H10"/>
  <c r="J10" s="1"/>
  <c r="H4"/>
  <c r="J4" s="1"/>
  <c r="J156" l="1"/>
  <c r="D160" s="1"/>
  <c r="D60"/>
  <c r="D88"/>
  <c r="H80"/>
  <c r="J80" s="1"/>
  <c r="D17"/>
  <c r="H47"/>
  <c r="J47" s="1"/>
  <c r="H24"/>
  <c r="F56" l="1"/>
  <c r="G56" s="1"/>
  <c r="H55" s="1"/>
  <c r="J55" s="1"/>
  <c r="D159" s="1"/>
  <c r="F59"/>
  <c r="D162" l="1"/>
  <c r="E168" s="1"/>
  <c r="E167" l="1"/>
  <c r="E165"/>
  <c r="E164"/>
  <c r="E166"/>
</calcChain>
</file>

<file path=xl/sharedStrings.xml><?xml version="1.0" encoding="utf-8"?>
<sst xmlns="http://schemas.openxmlformats.org/spreadsheetml/2006/main" count="481" uniqueCount="270">
  <si>
    <t>是輸入1,否為0</t>
    <phoneticPr fontId="1" type="noConversion"/>
  </si>
  <si>
    <t>63年2月以前</t>
    <phoneticPr fontId="1" type="noConversion"/>
  </si>
  <si>
    <t>63年2月至71年6月</t>
    <phoneticPr fontId="1" type="noConversion"/>
  </si>
  <si>
    <t>71年6月至78年5月</t>
    <phoneticPr fontId="1" type="noConversion"/>
  </si>
  <si>
    <t>78年5月至86年5月</t>
    <phoneticPr fontId="1" type="noConversion"/>
  </si>
  <si>
    <t>採用權數</t>
    <phoneticPr fontId="1" type="noConversion"/>
  </si>
  <si>
    <t>固定權數</t>
    <phoneticPr fontId="1" type="noConversion"/>
  </si>
  <si>
    <t>自動計算</t>
    <phoneticPr fontId="1" type="noConversion"/>
  </si>
  <si>
    <t>配分</t>
    <phoneticPr fontId="1" type="noConversion"/>
  </si>
  <si>
    <t>危險度評分</t>
    <phoneticPr fontId="1" type="noConversion"/>
  </si>
  <si>
    <t>項次</t>
    <phoneticPr fontId="1" type="noConversion"/>
  </si>
  <si>
    <t>設計年度</t>
    <phoneticPr fontId="1" type="noConversion"/>
  </si>
  <si>
    <t>地盤種類</t>
    <phoneticPr fontId="1" type="noConversion"/>
  </si>
  <si>
    <t>臺北盆地</t>
    <phoneticPr fontId="1" type="noConversion"/>
  </si>
  <si>
    <t>第二類地盤</t>
    <phoneticPr fontId="1" type="noConversion"/>
  </si>
  <si>
    <t>第ㄧ類地盤</t>
    <phoneticPr fontId="1" type="noConversion"/>
  </si>
  <si>
    <t>固定</t>
    <phoneticPr fontId="1" type="noConversion"/>
  </si>
  <si>
    <t>第二類地盤Fa</t>
    <phoneticPr fontId="1" type="noConversion"/>
  </si>
  <si>
    <t>第ㄧ類地盤Fa</t>
    <phoneticPr fontId="1" type="noConversion"/>
  </si>
  <si>
    <t>工址震區加速度係數</t>
    <phoneticPr fontId="1" type="noConversion"/>
  </si>
  <si>
    <t>配分</t>
    <phoneticPr fontId="1" type="noConversion"/>
  </si>
  <si>
    <t>Z=</t>
    <phoneticPr fontId="1" type="noConversion"/>
  </si>
  <si>
    <t>地下室面積比,ra</t>
    <phoneticPr fontId="1" type="noConversion"/>
  </si>
  <si>
    <t>0&lt;權數&lt;1</t>
    <phoneticPr fontId="1" type="noConversion"/>
  </si>
  <si>
    <t>基礎型式</t>
    <phoneticPr fontId="1" type="noConversion"/>
  </si>
  <si>
    <t>無繫梁之基腳</t>
    <phoneticPr fontId="1" type="noConversion"/>
  </si>
  <si>
    <t>有繫梁之基腳</t>
    <phoneticPr fontId="1" type="noConversion"/>
  </si>
  <si>
    <t>樁基或筏基</t>
    <phoneticPr fontId="1" type="noConversion"/>
  </si>
  <si>
    <t>基礎承載力</t>
    <phoneticPr fontId="1" type="noConversion"/>
  </si>
  <si>
    <t>梁跨深比耐震性指標</t>
    <phoneticPr fontId="1" type="noConversion"/>
  </si>
  <si>
    <t>梁深  cm</t>
    <phoneticPr fontId="1" type="noConversion"/>
  </si>
  <si>
    <t>梁淨跨距    cm</t>
    <phoneticPr fontId="1" type="noConversion"/>
  </si>
  <si>
    <t>梁跨深比</t>
  </si>
  <si>
    <t>≦2</t>
    <phoneticPr fontId="1" type="noConversion"/>
  </si>
  <si>
    <t>&gt;10</t>
    <phoneticPr fontId="1" type="noConversion"/>
  </si>
  <si>
    <t>梁跨深比自動計算</t>
    <phoneticPr fontId="1" type="noConversion"/>
  </si>
  <si>
    <t>柱高深比或牆高厚比耐震性指標</t>
    <phoneticPr fontId="1" type="noConversion"/>
  </si>
  <si>
    <t>柱淨高   cm</t>
    <phoneticPr fontId="1" type="noConversion"/>
  </si>
  <si>
    <t>柱深(地震剪力方向)  cm</t>
    <phoneticPr fontId="1" type="noConversion"/>
  </si>
  <si>
    <t>&gt;6</t>
    <phoneticPr fontId="1" type="noConversion"/>
  </si>
  <si>
    <t>≧1</t>
    <phoneticPr fontId="1" type="noConversion"/>
  </si>
  <si>
    <t>全部無牆時</t>
    <phoneticPr fontId="1" type="noConversion"/>
  </si>
  <si>
    <t>基礎下方為軟弱土層</t>
    <phoneticPr fontId="1" type="noConversion"/>
  </si>
  <si>
    <t>基礎下方地中垂直應力增量</t>
    <phoneticPr fontId="1" type="noConversion"/>
  </si>
  <si>
    <t>梁柱接頭開裂或樓板(屋架)支乘滑落性</t>
    <phoneticPr fontId="1" type="noConversion"/>
  </si>
  <si>
    <t>開裂佔總支數 ＝0%(剛性樓板範圍)</t>
    <phoneticPr fontId="1" type="noConversion"/>
  </si>
  <si>
    <t>開裂支數</t>
    <phoneticPr fontId="1" type="noConversion"/>
  </si>
  <si>
    <t>比例  %   自動算</t>
    <phoneticPr fontId="1" type="noConversion"/>
  </si>
  <si>
    <t>注意XY各別勁度有方向性 X→    Y↑</t>
    <phoneticPr fontId="1" type="noConversion"/>
  </si>
  <si>
    <t>選牆量差異最大鄰近兩層</t>
    <phoneticPr fontId="1" type="noConversion"/>
  </si>
  <si>
    <t>以上選大值</t>
    <phoneticPr fontId="1" type="noConversion"/>
  </si>
  <si>
    <t>一樓柱挑高二層(無腰梁)</t>
    <phoneticPr fontId="1" type="noConversion"/>
  </si>
  <si>
    <t>平面對稱性</t>
    <phoneticPr fontId="1" type="noConversion"/>
  </si>
  <si>
    <t>L 長                          M</t>
    <phoneticPr fontId="1" type="noConversion"/>
  </si>
  <si>
    <t>A 突出長                      M</t>
    <phoneticPr fontId="1" type="noConversion"/>
  </si>
  <si>
    <t>比例  %   自動算              %</t>
    <phoneticPr fontId="1" type="noConversion"/>
  </si>
  <si>
    <t>A/L ≧15%</t>
    <phoneticPr fontId="1" type="noConversion"/>
  </si>
  <si>
    <t xml:space="preserve">佔 ≧1%≦15% </t>
    <phoneticPr fontId="1" type="noConversion"/>
  </si>
  <si>
    <t>A/L ≦1%</t>
    <phoneticPr fontId="1" type="noConversion"/>
  </si>
  <si>
    <t>立面對稱性</t>
    <phoneticPr fontId="1" type="noConversion"/>
  </si>
  <si>
    <t>大</t>
    <phoneticPr fontId="1" type="noConversion"/>
  </si>
  <si>
    <t>中</t>
    <phoneticPr fontId="1" type="noConversion"/>
  </si>
  <si>
    <t>小</t>
    <phoneticPr fontId="1" type="noConversion"/>
  </si>
  <si>
    <t>無</t>
    <phoneticPr fontId="1" type="noConversion"/>
  </si>
  <si>
    <t>高</t>
    <phoneticPr fontId="1" type="noConversion"/>
  </si>
  <si>
    <t>低</t>
    <phoneticPr fontId="1" type="noConversion"/>
  </si>
  <si>
    <t>屋齡  yr(年)</t>
    <phoneticPr fontId="1" type="noConversion"/>
  </si>
  <si>
    <t xml:space="preserve"> &gt;50年</t>
    <phoneticPr fontId="1" type="noConversion"/>
  </si>
  <si>
    <t>0年</t>
    <phoneticPr fontId="1" type="noConversion"/>
  </si>
  <si>
    <t>yr/50≦1.0</t>
    <phoneticPr fontId="1" type="noConversion"/>
  </si>
  <si>
    <t xml:space="preserve">是輸入1,否為0  </t>
    <phoneticPr fontId="1" type="noConversion"/>
  </si>
  <si>
    <t xml:space="preserve">屋頂加建程度 </t>
    <phoneticPr fontId="1" type="noConversion"/>
  </si>
  <si>
    <t>二樓以上總面積   m2</t>
    <phoneticPr fontId="1" type="noConversion"/>
  </si>
  <si>
    <t>屋頂加建面積   m2</t>
    <phoneticPr fontId="1" type="noConversion"/>
  </si>
  <si>
    <t>高  &gt;3%</t>
    <phoneticPr fontId="1" type="noConversion"/>
  </si>
  <si>
    <t>中   &gt;1.5%&lt;3%</t>
    <phoneticPr fontId="1" type="noConversion"/>
  </si>
  <si>
    <t>低  &lt;1.5%</t>
    <phoneticPr fontId="1" type="noConversion"/>
  </si>
  <si>
    <t>額外評估</t>
    <phoneticPr fontId="1" type="noConversion"/>
  </si>
  <si>
    <t>配分</t>
  </si>
  <si>
    <t>總評估分數</t>
    <phoneticPr fontId="1" type="noConversion"/>
  </si>
  <si>
    <t>1~18危險度評分</t>
    <phoneticPr fontId="1" type="noConversion"/>
  </si>
  <si>
    <t>額外加減</t>
    <phoneticPr fontId="1" type="noConversion"/>
  </si>
  <si>
    <t>評估結果  級別</t>
    <phoneticPr fontId="1" type="noConversion"/>
  </si>
  <si>
    <t>A級優</t>
  </si>
  <si>
    <t>B級佳</t>
  </si>
  <si>
    <t>C級尚可</t>
  </si>
  <si>
    <t>D級差</t>
  </si>
  <si>
    <t>E級極劣</t>
  </si>
  <si>
    <t>本欄ABCDE選最下者</t>
    <phoneticPr fontId="1" type="noConversion"/>
  </si>
  <si>
    <t xml:space="preserve"> 已乘0.5  0.8</t>
    <phoneticPr fontId="1" type="noConversion"/>
  </si>
  <si>
    <t>上層RC牆總斷面積M2</t>
    <phoneticPr fontId="1" type="noConversion"/>
  </si>
  <si>
    <t>下層RC牆總斷面積M2</t>
    <phoneticPr fontId="1" type="noConversion"/>
  </si>
  <si>
    <t>下層磚牆總斷面積M2</t>
    <phoneticPr fontId="1" type="noConversion"/>
  </si>
  <si>
    <t>上層磚牆總斷面積M2</t>
    <phoneticPr fontId="1" type="noConversion"/>
  </si>
  <si>
    <t>危險度評分和</t>
    <phoneticPr fontId="1" type="noConversion"/>
  </si>
  <si>
    <t>Fa第三類地盤Fa結構反應譜之工址放大係數</t>
    <phoneticPr fontId="1" type="noConversion"/>
  </si>
  <si>
    <t>第三類地盤Fa</t>
    <phoneticPr fontId="1" type="noConversion"/>
  </si>
  <si>
    <t>RW 牆斷面積/柱斷面積</t>
    <phoneticPr fontId="1" type="noConversion"/>
  </si>
  <si>
    <t>0.33/20=0.0165</t>
    <phoneticPr fontId="1" type="noConversion"/>
  </si>
  <si>
    <t>自動算</t>
    <phoneticPr fontId="1" type="noConversion"/>
  </si>
  <si>
    <r>
      <t>第三類地盤</t>
    </r>
    <r>
      <rPr>
        <sz val="10"/>
        <color rgb="FFC00000"/>
        <rFont val="標楷體"/>
        <family val="4"/>
        <charset val="136"/>
      </rPr>
      <t>(鑽探深&lt;30m)</t>
    </r>
    <phoneticPr fontId="1" type="noConversion"/>
  </si>
  <si>
    <r>
      <t xml:space="preserve">短柱短梁嚴重性 </t>
    </r>
    <r>
      <rPr>
        <sz val="12"/>
        <color rgb="FF0070C0"/>
        <rFont val="標楷體"/>
        <family val="4"/>
        <charset val="136"/>
      </rPr>
      <t xml:space="preserve"> 地震方向</t>
    </r>
    <phoneticPr fontId="1" type="noConversion"/>
  </si>
  <si>
    <t>短柱支數(淨高/柱深)≦4   &gt;20%</t>
    <phoneticPr fontId="1" type="noConversion"/>
  </si>
  <si>
    <t>極短柱支數(淨高/柱深)≦2  1支</t>
    <phoneticPr fontId="1" type="noConversion"/>
  </si>
  <si>
    <t>短柱支數(淨高/柱深)≦4  &gt;10%</t>
    <phoneticPr fontId="1" type="noConversion"/>
  </si>
  <si>
    <t>短柱支數(淨高/柱深)≦4  =0%</t>
    <phoneticPr fontId="1" type="noConversion"/>
  </si>
  <si>
    <r>
      <t>配分       (</t>
    </r>
    <r>
      <rPr>
        <sz val="12"/>
        <color rgb="FF0070C0"/>
        <rFont val="標楷體"/>
        <family val="4"/>
        <charset val="136"/>
      </rPr>
      <t>地震方向)</t>
    </r>
    <phoneticPr fontId="1" type="noConversion"/>
  </si>
  <si>
    <t>變形程度(地下室、一樓 、二樓樓梯)</t>
    <phoneticPr fontId="1" type="noConversion"/>
  </si>
  <si>
    <r>
      <t xml:space="preserve">額外增分  </t>
    </r>
    <r>
      <rPr>
        <sz val="12"/>
        <color rgb="FF0070C0"/>
        <rFont val="標楷體"/>
        <family val="4"/>
        <charset val="136"/>
      </rPr>
      <t>填</t>
    </r>
    <r>
      <rPr>
        <sz val="12"/>
        <color rgb="FFFF0000"/>
        <rFont val="標楷體"/>
        <family val="4"/>
        <charset val="136"/>
      </rPr>
      <t>正</t>
    </r>
    <r>
      <rPr>
        <sz val="12"/>
        <color rgb="FF0070C0"/>
        <rFont val="標楷體"/>
        <family val="4"/>
        <charset val="136"/>
      </rPr>
      <t>分</t>
    </r>
    <phoneticPr fontId="1" type="noConversion"/>
  </si>
  <si>
    <r>
      <t xml:space="preserve">額外增分  </t>
    </r>
    <r>
      <rPr>
        <sz val="12"/>
        <color rgb="FF0070C0"/>
        <rFont val="標楷體"/>
        <family val="4"/>
        <charset val="136"/>
      </rPr>
      <t>填</t>
    </r>
    <r>
      <rPr>
        <sz val="12"/>
        <color rgb="FFFF0000"/>
        <rFont val="標楷體"/>
        <family val="4"/>
        <charset val="136"/>
      </rPr>
      <t>負</t>
    </r>
    <r>
      <rPr>
        <sz val="12"/>
        <color rgb="FF0070C0"/>
        <rFont val="標楷體"/>
        <family val="4"/>
        <charset val="136"/>
      </rPr>
      <t>分</t>
    </r>
    <phoneticPr fontId="1" type="noConversion"/>
  </si>
  <si>
    <r>
      <t>高市</t>
    </r>
    <r>
      <rPr>
        <sz val="12"/>
        <color rgb="FFFF0000"/>
        <rFont val="標楷體"/>
        <family val="4"/>
        <charset val="136"/>
      </rPr>
      <t>三民 前金</t>
    </r>
    <r>
      <rPr>
        <sz val="12"/>
        <color theme="1"/>
        <rFont val="標楷體"/>
        <family val="4"/>
        <charset val="136"/>
      </rPr>
      <t>區SDs=0.6</t>
    </r>
    <phoneticPr fontId="1" type="noConversion"/>
  </si>
  <si>
    <t>上層RC柱及牆合計M2</t>
    <phoneticPr fontId="1" type="noConversion"/>
  </si>
  <si>
    <t>下層RC柱及牆合計M2</t>
    <phoneticPr fontId="1" type="noConversion"/>
  </si>
  <si>
    <t>SDs</t>
    <phoneticPr fontId="1" type="noConversion"/>
  </si>
  <si>
    <t>ra=</t>
    <phoneticPr fontId="1" type="noConversion"/>
  </si>
  <si>
    <t>ra&gt;1.5</t>
    <phoneticPr fontId="1" type="noConversion"/>
  </si>
  <si>
    <t>ra=0</t>
    <phoneticPr fontId="1" type="noConversion"/>
  </si>
  <si>
    <t>0&lt;ra&lt;1.5</t>
    <phoneticPr fontId="1" type="noConversion"/>
  </si>
  <si>
    <t>A級  優</t>
    <phoneticPr fontId="1" type="noConversion"/>
  </si>
  <si>
    <t>B級  佳</t>
    <phoneticPr fontId="1" type="noConversion"/>
  </si>
  <si>
    <t>C級  尚可</t>
    <phoneticPr fontId="1" type="noConversion"/>
  </si>
  <si>
    <t>D級  差</t>
    <phoneticPr fontId="1" type="noConversion"/>
  </si>
  <si>
    <t>E級  極劣</t>
    <phoneticPr fontId="1" type="noConversion"/>
  </si>
  <si>
    <t>密</t>
    <phoneticPr fontId="1" type="noConversion"/>
  </si>
  <si>
    <t>地下開挖深度      M</t>
    <phoneticPr fontId="1" type="noConversion"/>
  </si>
  <si>
    <t>地上樓層數</t>
    <phoneticPr fontId="1" type="noConversion"/>
  </si>
  <si>
    <t>安全度</t>
    <phoneticPr fontId="1" type="noConversion"/>
  </si>
  <si>
    <t>內插</t>
  </si>
  <si>
    <t>內插</t>
    <phoneticPr fontId="1" type="noConversion"/>
  </si>
  <si>
    <r>
      <t>以上均無0.33~</t>
    </r>
    <r>
      <rPr>
        <sz val="11"/>
        <color rgb="FFFF0000"/>
        <rFont val="標楷體"/>
        <family val="4"/>
        <charset val="136"/>
      </rPr>
      <t>0(土改=0)</t>
    </r>
    <phoneticPr fontId="1" type="noConversion"/>
  </si>
  <si>
    <t>一樓室外地坪裂縫沉陷痕跡(1)</t>
    <phoneticPr fontId="1" type="noConversion"/>
  </si>
  <si>
    <t>柱高深比自動計算</t>
    <phoneticPr fontId="1" type="noConversion"/>
  </si>
  <si>
    <t>固定權數</t>
    <phoneticPr fontId="1" type="noConversion"/>
  </si>
  <si>
    <t>RC牆及磚牆 總斷面積  M2</t>
    <phoneticPr fontId="1" type="noConversion"/>
  </si>
  <si>
    <t>一樓柱總斷面積      M2</t>
    <phoneticPr fontId="1" type="noConversion"/>
  </si>
  <si>
    <t>總支數</t>
    <phoneticPr fontId="1" type="noConversion"/>
  </si>
  <si>
    <t>開裂佔總支數 &gt;20%(剛性樓板範圍)支乘滑落性</t>
    <phoneticPr fontId="1" type="noConversion"/>
  </si>
  <si>
    <t>短柱支數(淨高/柱深)≦4  &gt;0~19%</t>
    <phoneticPr fontId="1" type="noConversion"/>
  </si>
  <si>
    <t>上層RC柱總斷面積M2</t>
    <phoneticPr fontId="1" type="noConversion"/>
  </si>
  <si>
    <t>下層RC柱總斷面積M2</t>
    <phoneticPr fontId="1" type="noConversion"/>
  </si>
  <si>
    <r>
      <t xml:space="preserve">上/下變異≧150% </t>
    </r>
    <r>
      <rPr>
        <sz val="10"/>
        <color theme="1"/>
        <rFont val="標楷體"/>
        <family val="4"/>
        <charset val="136"/>
      </rPr>
      <t>或勁度不規則、重量不規則、內縮、剪力牆停、柱長短</t>
    </r>
    <phoneticPr fontId="1" type="noConversion"/>
  </si>
  <si>
    <t>上/下變異≦100%</t>
    <phoneticPr fontId="1" type="noConversion"/>
  </si>
  <si>
    <t>上/下變異&gt;100~149%</t>
    <phoneticPr fontId="1" type="noConversion"/>
  </si>
  <si>
    <t>下=                   M</t>
    <phoneticPr fontId="1" type="noConversion"/>
  </si>
  <si>
    <t>挑高柱無腰梁</t>
    <phoneticPr fontId="1" type="noConversion"/>
  </si>
  <si>
    <t>裂縫鏽蝕滲水等程度 (地下室、一樓 、二樓公共)</t>
    <phoneticPr fontId="1" type="noConversion"/>
  </si>
  <si>
    <t>柱尺寸</t>
    <phoneticPr fontId="1" type="noConversion"/>
  </si>
  <si>
    <t>寬</t>
    <phoneticPr fontId="1" type="noConversion"/>
  </si>
  <si>
    <t>cm</t>
    <phoneticPr fontId="1" type="noConversion"/>
  </si>
  <si>
    <t>牆係數比</t>
    <phoneticPr fontId="1" type="noConversion"/>
  </si>
  <si>
    <t>深(震方)</t>
    <phoneticPr fontId="1" type="noConversion"/>
  </si>
  <si>
    <t>牆尺寸</t>
    <phoneticPr fontId="1" type="noConversion"/>
  </si>
  <si>
    <t xml:space="preserve"> 牆勁度等值柱分析</t>
    <phoneticPr fontId="1" type="noConversion"/>
  </si>
  <si>
    <t>支</t>
    <phoneticPr fontId="1" type="noConversion"/>
  </si>
  <si>
    <t>原有柱之數</t>
    <phoneticPr fontId="1" type="noConversion"/>
  </si>
  <si>
    <t>牆體有幾道</t>
    <phoneticPr fontId="1" type="noConversion"/>
  </si>
  <si>
    <t>道</t>
    <phoneticPr fontId="1" type="noConversion"/>
  </si>
  <si>
    <t>牆勁度+柱</t>
    <phoneticPr fontId="1" type="noConversion"/>
  </si>
  <si>
    <t>倍</t>
    <phoneticPr fontId="1" type="noConversion"/>
  </si>
  <si>
    <t>長</t>
    <phoneticPr fontId="1" type="noConversion"/>
  </si>
  <si>
    <t>處</t>
    <phoneticPr fontId="1" type="noConversion"/>
  </si>
  <si>
    <t>厚</t>
    <phoneticPr fontId="1" type="noConversion"/>
  </si>
  <si>
    <t>RC</t>
    <phoneticPr fontId="1" type="noConversion"/>
  </si>
  <si>
    <t>B</t>
    <phoneticPr fontId="1" type="noConversion"/>
  </si>
  <si>
    <t>RC柱</t>
    <phoneticPr fontId="1" type="noConversion"/>
  </si>
  <si>
    <t>0.5B</t>
    <phoneticPr fontId="1" type="noConversion"/>
  </si>
  <si>
    <r>
      <t xml:space="preserve">RC牆總斷面積   M2 </t>
    </r>
    <r>
      <rPr>
        <sz val="12"/>
        <color rgb="FFFF0000"/>
        <rFont val="標楷體"/>
        <family val="4"/>
        <charset val="136"/>
      </rPr>
      <t>(3,4邊圍束)勁度</t>
    </r>
    <phoneticPr fontId="1" type="noConversion"/>
  </si>
  <si>
    <r>
      <t xml:space="preserve">磚牆總斷面積   M2 </t>
    </r>
    <r>
      <rPr>
        <sz val="12"/>
        <color rgb="FFFF0000"/>
        <rFont val="標楷體"/>
        <family val="4"/>
        <charset val="136"/>
      </rPr>
      <t>(3,4邊圍束)勁度</t>
    </r>
    <phoneticPr fontId="1" type="noConversion"/>
  </si>
  <si>
    <t>牆量指標              (勁度)</t>
    <phoneticPr fontId="1" type="noConversion"/>
  </si>
  <si>
    <t xml:space="preserve">        </t>
    <phoneticPr fontId="1" type="noConversion"/>
  </si>
  <si>
    <t>&gt;80</t>
    <phoneticPr fontId="1" type="noConversion"/>
  </si>
  <si>
    <t>佔 ≦0.8</t>
    <phoneticPr fontId="1" type="noConversion"/>
  </si>
  <si>
    <t xml:space="preserve">佔 &gt;0.8&lt;1 </t>
    <phoneticPr fontId="1" type="noConversion"/>
  </si>
  <si>
    <t>佔 ≧1</t>
    <phoneticPr fontId="1" type="noConversion"/>
  </si>
  <si>
    <r>
      <t xml:space="preserve">比例    自動算  </t>
    </r>
    <r>
      <rPr>
        <sz val="14"/>
        <color rgb="FFFF0000"/>
        <rFont val="標楷體"/>
        <family val="4"/>
        <charset val="136"/>
      </rPr>
      <t>注意下除以上層</t>
    </r>
    <phoneticPr fontId="1" type="noConversion"/>
  </si>
  <si>
    <t>Rc牆有效係數</t>
    <phoneticPr fontId="1" type="noConversion"/>
  </si>
  <si>
    <t>磚牆有效係數</t>
    <phoneticPr fontId="1" type="noConversion"/>
  </si>
  <si>
    <t>最高+ -10</t>
    <phoneticPr fontId="1" type="noConversion"/>
  </si>
  <si>
    <t>注意</t>
    <phoneticPr fontId="1" type="noConversion"/>
  </si>
  <si>
    <t>開口淨高</t>
    <phoneticPr fontId="1" type="noConversion"/>
  </si>
  <si>
    <t>cm</t>
    <phoneticPr fontId="1" type="noConversion"/>
  </si>
  <si>
    <t>柱寬</t>
    <phoneticPr fontId="1" type="noConversion"/>
  </si>
  <si>
    <t>柱淨高</t>
    <phoneticPr fontId="1" type="noConversion"/>
  </si>
  <si>
    <t>cm</t>
    <phoneticPr fontId="1" type="noConversion"/>
  </si>
  <si>
    <t>極短柱</t>
    <phoneticPr fontId="1" type="noConversion"/>
  </si>
  <si>
    <t>≦2極短柱</t>
    <phoneticPr fontId="1" type="noConversion"/>
  </si>
  <si>
    <t>比</t>
    <phoneticPr fontId="1" type="noConversion"/>
  </si>
  <si>
    <t>短柱</t>
    <phoneticPr fontId="1" type="noConversion"/>
  </si>
  <si>
    <t>≦4短柱</t>
    <phoneticPr fontId="1" type="noConversion"/>
  </si>
  <si>
    <t>1.液化潛能                     3,2,1,0</t>
    <phoneticPr fontId="1" type="noConversion"/>
  </si>
  <si>
    <t>2.近活斷層距離                 2</t>
    <phoneticPr fontId="1" type="noConversion"/>
  </si>
  <si>
    <t>3.分期興建或工程品質有疑慮     2</t>
    <phoneticPr fontId="1" type="noConversion"/>
  </si>
  <si>
    <r>
      <t>4.曾經受災害者,</t>
    </r>
    <r>
      <rPr>
        <sz val="10"/>
        <color theme="1"/>
        <rFont val="標楷體"/>
        <family val="4"/>
        <charset val="136"/>
      </rPr>
      <t>如火災水災震災人為破壞等   2</t>
    </r>
    <phoneticPr fontId="1" type="noConversion"/>
  </si>
  <si>
    <t>5.使用用途由低強度改為高強度者            2</t>
    <phoneticPr fontId="1" type="noConversion"/>
  </si>
  <si>
    <t>1.經適當補強者                       2</t>
    <phoneticPr fontId="1" type="noConversion"/>
  </si>
  <si>
    <t>2.使用用途由高強度改為低強度者       2</t>
    <phoneticPr fontId="1" type="noConversion"/>
  </si>
  <si>
    <t>≦10</t>
    <phoneticPr fontId="1" type="noConversion"/>
  </si>
  <si>
    <t>0~20</t>
    <phoneticPr fontId="1" type="noConversion"/>
  </si>
  <si>
    <t>20~30</t>
    <phoneticPr fontId="1" type="noConversion"/>
  </si>
  <si>
    <t>30~60</t>
    <phoneticPr fontId="1" type="noConversion"/>
  </si>
  <si>
    <t>60~80</t>
    <phoneticPr fontId="1" type="noConversion"/>
  </si>
  <si>
    <t>採用本程式需由蘇啟東授權登錄</t>
    <phoneticPr fontId="1" type="noConversion"/>
  </si>
  <si>
    <t>Meyrhof法</t>
    <phoneticPr fontId="37" type="noConversion"/>
  </si>
  <si>
    <t>qa=0.88N{(B+0.33)/B}^2</t>
    <phoneticPr fontId="37" type="noConversion"/>
  </si>
  <si>
    <t>B基腳寬=</t>
    <phoneticPr fontId="37" type="noConversion"/>
  </si>
  <si>
    <t>m</t>
    <phoneticPr fontId="37" type="noConversion"/>
  </si>
  <si>
    <t>N=</t>
    <phoneticPr fontId="37" type="noConversion"/>
  </si>
  <si>
    <t>基腳沉陷量2.5CM</t>
    <phoneticPr fontId="37" type="noConversion"/>
  </si>
  <si>
    <t>Qa</t>
    <phoneticPr fontId="37" type="noConversion"/>
  </si>
  <si>
    <t>t/m2</t>
    <phoneticPr fontId="37" type="noConversion"/>
  </si>
  <si>
    <t>★</t>
    <phoneticPr fontId="37" type="noConversion"/>
  </si>
  <si>
    <t>選小値</t>
    <phoneticPr fontId="37" type="noConversion"/>
  </si>
  <si>
    <t>快速法=</t>
    <phoneticPr fontId="37" type="noConversion"/>
  </si>
  <si>
    <t>建築面積</t>
    <phoneticPr fontId="37" type="noConversion"/>
  </si>
  <si>
    <t>M2</t>
    <phoneticPr fontId="37" type="noConversion"/>
  </si>
  <si>
    <t>柱之數</t>
    <phoneticPr fontId="37" type="noConversion"/>
  </si>
  <si>
    <t>每支柱承受M2</t>
    <phoneticPr fontId="37" type="noConversion"/>
  </si>
  <si>
    <t>方</t>
    <phoneticPr fontId="37" type="noConversion"/>
  </si>
  <si>
    <t>深(震方)</t>
  </si>
  <si>
    <t>合計總面積  m2</t>
    <phoneticPr fontId="1" type="noConversion"/>
  </si>
  <si>
    <t>面積</t>
  </si>
  <si>
    <t>棟別</t>
    <phoneticPr fontId="1" type="noConversion"/>
  </si>
  <si>
    <t>基礎下方為軟弱土層</t>
  </si>
  <si>
    <t>下層</t>
    <phoneticPr fontId="1" type="noConversion"/>
  </si>
  <si>
    <t>上層</t>
    <phoneticPr fontId="1" type="noConversion"/>
  </si>
  <si>
    <t xml:space="preserve"> 牆柱面積比例分析</t>
    <phoneticPr fontId="1" type="noConversion"/>
  </si>
  <si>
    <t>寬(震方) m</t>
    <phoneticPr fontId="1" type="noConversion"/>
  </si>
  <si>
    <t>深 m</t>
    <phoneticPr fontId="1" type="noConversion"/>
  </si>
  <si>
    <t>支數</t>
    <phoneticPr fontId="1" type="noConversion"/>
  </si>
  <si>
    <t>柱尺寸</t>
    <phoneticPr fontId="1" type="noConversion"/>
  </si>
  <si>
    <t>合計總面積  m2</t>
    <phoneticPr fontId="1" type="noConversion"/>
  </si>
  <si>
    <t xml:space="preserve">   RC牆尺寸</t>
    <phoneticPr fontId="1" type="noConversion"/>
  </si>
  <si>
    <t>寬  m</t>
    <phoneticPr fontId="1" type="noConversion"/>
  </si>
  <si>
    <t xml:space="preserve">  磚牆尺寸</t>
    <phoneticPr fontId="1" type="noConversion"/>
  </si>
  <si>
    <t>Y向</t>
    <phoneticPr fontId="1" type="noConversion"/>
  </si>
  <si>
    <t>X向</t>
    <phoneticPr fontId="1" type="noConversion"/>
  </si>
  <si>
    <t>合計總面積  m2</t>
  </si>
  <si>
    <t>採用X向</t>
    <phoneticPr fontId="1" type="noConversion"/>
  </si>
  <si>
    <t xml:space="preserve"> 上層高度</t>
    <phoneticPr fontId="1" type="noConversion"/>
  </si>
  <si>
    <t>M</t>
    <phoneticPr fontId="1" type="noConversion"/>
  </si>
  <si>
    <t>下層高度</t>
    <phoneticPr fontId="1" type="noConversion"/>
  </si>
  <si>
    <t>%</t>
    <phoneticPr fontId="1" type="noConversion"/>
  </si>
  <si>
    <r>
      <t xml:space="preserve">上=                      </t>
    </r>
    <r>
      <rPr>
        <sz val="12"/>
        <color rgb="FFFF0000"/>
        <rFont val="標楷體"/>
        <family val="4"/>
        <charset val="136"/>
      </rPr>
      <t>本案另採高度</t>
    </r>
    <phoneticPr fontId="1" type="noConversion"/>
  </si>
  <si>
    <t>B6a</t>
    <phoneticPr fontId="1" type="noConversion"/>
  </si>
  <si>
    <t>C15a</t>
    <phoneticPr fontId="1" type="noConversion"/>
  </si>
  <si>
    <t>A1=4474.85</t>
    <phoneticPr fontId="1" type="noConversion"/>
  </si>
  <si>
    <t>A2=4474.85</t>
    <phoneticPr fontId="1" type="noConversion"/>
  </si>
  <si>
    <t>軟弱層顯著性(選牆量加柱量X,Y不利向)            (牆及柱量)</t>
    <phoneticPr fontId="1" type="noConversion"/>
  </si>
  <si>
    <t>選1、2F或標準層不利樓層</t>
  </si>
  <si>
    <t>(1.5-ra)/1.5</t>
    <phoneticPr fontId="1" type="noConversion"/>
  </si>
  <si>
    <t>樓上T/M2=</t>
    <phoneticPr fontId="1" type="noConversion"/>
  </si>
  <si>
    <t>&lt;1.00</t>
    <phoneticPr fontId="1" type="noConversion"/>
  </si>
  <si>
    <t>黏土N值</t>
    <phoneticPr fontId="1" type="noConversion"/>
  </si>
  <si>
    <t>T/M2</t>
    <phoneticPr fontId="1" type="noConversion"/>
  </si>
  <si>
    <t>6,7,9</t>
    <phoneticPr fontId="1" type="noConversion"/>
  </si>
  <si>
    <r>
      <t>建築面積(</t>
    </r>
    <r>
      <rPr>
        <sz val="12"/>
        <color rgb="FFFF0000"/>
        <rFont val="標楷體"/>
        <family val="4"/>
        <charset val="136"/>
      </rPr>
      <t>含騎樓</t>
    </r>
    <r>
      <rPr>
        <sz val="12"/>
        <rFont val="標楷體"/>
        <family val="4"/>
        <charset val="136"/>
      </rPr>
      <t>) m</t>
    </r>
    <r>
      <rPr>
        <vertAlign val="superscript"/>
        <sz val="12"/>
        <rFont val="標楷體"/>
        <family val="4"/>
        <charset val="136"/>
      </rPr>
      <t xml:space="preserve">2   </t>
    </r>
    <r>
      <rPr>
        <b/>
        <i/>
        <sz val="12"/>
        <rFont val="標楷體"/>
        <family val="4"/>
        <charset val="136"/>
      </rPr>
      <t xml:space="preserve"> </t>
    </r>
    <r>
      <rPr>
        <sz val="12"/>
        <color rgb="FFFF0000"/>
        <rFont val="標楷體"/>
        <family val="4"/>
        <charset val="136"/>
      </rPr>
      <t>各幢總合</t>
    </r>
    <phoneticPr fontId="1" type="noConversion"/>
  </si>
  <si>
    <r>
      <t>地下室面積  m</t>
    </r>
    <r>
      <rPr>
        <vertAlign val="superscript"/>
        <sz val="12"/>
        <rFont val="標楷體"/>
        <family val="4"/>
        <charset val="136"/>
      </rPr>
      <t xml:space="preserve">2 </t>
    </r>
    <r>
      <rPr>
        <sz val="12"/>
        <color rgb="FFFF0000"/>
        <rFont val="標楷體"/>
        <family val="4"/>
        <charset val="136"/>
      </rPr>
      <t>地下室單層開挖總面積</t>
    </r>
    <phoneticPr fontId="1" type="noConversion"/>
  </si>
  <si>
    <t>厚</t>
    <phoneticPr fontId="1" type="noConversion"/>
  </si>
  <si>
    <t>長</t>
    <phoneticPr fontId="1" type="noConversion"/>
  </si>
  <si>
    <t>處</t>
    <phoneticPr fontId="1" type="noConversion"/>
  </si>
  <si>
    <t>RC 牆</t>
    <phoneticPr fontId="1" type="noConversion"/>
  </si>
  <si>
    <t>小計</t>
  </si>
  <si>
    <t>B  磚牆</t>
    <phoneticPr fontId="1" type="noConversion"/>
  </si>
  <si>
    <t>小計</t>
    <phoneticPr fontId="1" type="noConversion"/>
  </si>
  <si>
    <t>寬</t>
    <phoneticPr fontId="1" type="noConversion"/>
  </si>
  <si>
    <t>RC柱</t>
    <phoneticPr fontId="1" type="noConversion"/>
  </si>
  <si>
    <t>蘇啟東建築師著作 2016.04.20 僅供參考</t>
    <phoneticPr fontId="1" type="noConversion"/>
  </si>
  <si>
    <t>A</t>
    <phoneticPr fontId="1" type="noConversion"/>
  </si>
  <si>
    <r>
      <t>建築物名稱:</t>
    </r>
    <r>
      <rPr>
        <sz val="12"/>
        <color rgb="FFFF0000"/>
        <rFont val="標楷體"/>
        <family val="4"/>
        <charset val="136"/>
      </rPr>
      <t xml:space="preserve">  (xx世界ㄧ期社區) </t>
    </r>
    <r>
      <rPr>
        <sz val="12"/>
        <color theme="1"/>
        <rFont val="標楷體"/>
        <family val="4"/>
        <charset val="136"/>
      </rPr>
      <t xml:space="preserve">                   </t>
    </r>
    <phoneticPr fontId="1" type="noConversion"/>
  </si>
  <si>
    <t>牆與柱比自動計算  rw</t>
    <phoneticPr fontId="1" type="noConversion"/>
  </si>
</sst>
</file>

<file path=xl/styles.xml><?xml version="1.0" encoding="utf-8"?>
<styleSheet xmlns="http://schemas.openxmlformats.org/spreadsheetml/2006/main">
  <numFmts count="5">
    <numFmt numFmtId="176" formatCode="m&quot;月&quot;d&quot;日&quot;"/>
    <numFmt numFmtId="177" formatCode="0.00_ "/>
    <numFmt numFmtId="178" formatCode="0.000_ "/>
    <numFmt numFmtId="179" formatCode="0.00000_ "/>
    <numFmt numFmtId="180" formatCode="0.000000_ "/>
  </numFmts>
  <fonts count="53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4"/>
      <color rgb="FF0070C0"/>
      <name val="標楷體"/>
      <family val="4"/>
      <charset val="136"/>
    </font>
    <font>
      <sz val="12"/>
      <name val="標楷體"/>
      <family val="4"/>
      <charset val="136"/>
    </font>
    <font>
      <sz val="12"/>
      <color rgb="FFC00000"/>
      <name val="標楷體"/>
      <family val="4"/>
      <charset val="136"/>
    </font>
    <font>
      <vertAlign val="superscript"/>
      <sz val="12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b/>
      <sz val="12"/>
      <color rgb="FF0070C0"/>
      <name val="新細明體"/>
      <family val="1"/>
      <charset val="136"/>
      <scheme val="minor"/>
    </font>
    <font>
      <b/>
      <sz val="12"/>
      <color rgb="FF0070C0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sz val="10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11"/>
      <color rgb="FFFF0000"/>
      <name val="標楷體"/>
      <family val="4"/>
      <charset val="136"/>
    </font>
    <font>
      <b/>
      <sz val="12"/>
      <color rgb="FFFF0000"/>
      <name val="新細明體"/>
      <family val="1"/>
      <charset val="136"/>
      <scheme val="minor"/>
    </font>
    <font>
      <sz val="14"/>
      <color rgb="FF0070C0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b/>
      <sz val="12"/>
      <color rgb="FF7030A0"/>
      <name val="標楷體"/>
      <family val="4"/>
      <charset val="136"/>
    </font>
    <font>
      <sz val="8"/>
      <color rgb="FF7030A0"/>
      <name val="標楷體"/>
      <family val="4"/>
      <charset val="136"/>
    </font>
    <font>
      <sz val="20"/>
      <color rgb="FFC00000"/>
      <name val="標楷體"/>
      <family val="4"/>
      <charset val="136"/>
    </font>
    <font>
      <b/>
      <sz val="12"/>
      <color rgb="FF00B050"/>
      <name val="標楷體"/>
      <family val="4"/>
      <charset val="136"/>
    </font>
    <font>
      <sz val="12"/>
      <color rgb="FF0070C0"/>
      <name val="標楷體"/>
      <family val="4"/>
      <charset val="136"/>
    </font>
    <font>
      <sz val="10"/>
      <color rgb="FFC00000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9" tint="0.59999389629810485"/>
      <name val="標楷體"/>
      <family val="4"/>
      <charset val="136"/>
    </font>
    <font>
      <sz val="12"/>
      <color theme="5" tint="0.79998168889431442"/>
      <name val="標楷體"/>
      <family val="4"/>
      <charset val="136"/>
    </font>
    <font>
      <b/>
      <sz val="14"/>
      <color rgb="FFFF0000"/>
      <name val="新細明體"/>
      <family val="1"/>
      <charset val="136"/>
      <scheme val="minor"/>
    </font>
    <font>
      <sz val="14"/>
      <color rgb="FFFF0000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2"/>
      <color rgb="FF002060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4"/>
      <color rgb="FF002060"/>
      <name val="新細明體"/>
      <family val="2"/>
      <charset val="136"/>
      <scheme val="minor"/>
    </font>
    <font>
      <b/>
      <sz val="14"/>
      <color rgb="FF7030A0"/>
      <name val="標楷體"/>
      <family val="4"/>
      <charset val="136"/>
    </font>
    <font>
      <b/>
      <sz val="14"/>
      <color rgb="FF0070C0"/>
      <name val="新細明體"/>
      <family val="1"/>
      <charset val="136"/>
      <scheme val="minor"/>
    </font>
    <font>
      <sz val="12"/>
      <name val="新細明體"/>
      <family val="2"/>
      <charset val="136"/>
      <scheme val="minor"/>
    </font>
    <font>
      <sz val="16"/>
      <color rgb="FFFF0000"/>
      <name val="標楷體"/>
      <family val="4"/>
      <charset val="136"/>
    </font>
    <font>
      <sz val="9"/>
      <name val="新細明體"/>
      <family val="1"/>
      <charset val="136"/>
    </font>
    <font>
      <b/>
      <sz val="12"/>
      <color indexed="10"/>
      <name val="標楷體"/>
      <family val="4"/>
      <charset val="136"/>
    </font>
    <font>
      <b/>
      <sz val="12"/>
      <color indexed="17"/>
      <name val="標楷體"/>
      <family val="4"/>
      <charset val="136"/>
    </font>
    <font>
      <sz val="12"/>
      <color indexed="10"/>
      <name val="標楷體"/>
      <family val="4"/>
      <charset val="136"/>
    </font>
    <font>
      <b/>
      <i/>
      <sz val="12"/>
      <color indexed="17"/>
      <name val="標楷體"/>
      <family val="4"/>
      <charset val="136"/>
    </font>
    <font>
      <b/>
      <sz val="12"/>
      <name val="標楷體"/>
      <family val="4"/>
      <charset val="136"/>
    </font>
    <font>
      <sz val="12"/>
      <color theme="7" tint="0.39997558519241921"/>
      <name val="標楷體"/>
      <family val="4"/>
      <charset val="136"/>
    </font>
    <font>
      <sz val="10"/>
      <color theme="9" tint="-0.249977111117893"/>
      <name val="標楷體"/>
      <family val="4"/>
      <charset val="136"/>
    </font>
    <font>
      <sz val="12"/>
      <color theme="7" tint="-0.249977111117893"/>
      <name val="標楷體"/>
      <family val="4"/>
      <charset val="136"/>
    </font>
    <font>
      <strike/>
      <sz val="12"/>
      <color theme="1"/>
      <name val="標楷體"/>
      <family val="4"/>
      <charset val="136"/>
    </font>
    <font>
      <b/>
      <sz val="12"/>
      <color rgb="FFC00000"/>
      <name val="標楷體"/>
      <family val="4"/>
      <charset val="136"/>
    </font>
    <font>
      <sz val="12"/>
      <color rgb="FFFF0000"/>
      <name val="新細明體"/>
      <family val="2"/>
      <charset val="136"/>
      <scheme val="minor"/>
    </font>
    <font>
      <b/>
      <i/>
      <sz val="14"/>
      <color rgb="FF0070C0"/>
      <name val="標楷體"/>
      <family val="4"/>
      <charset val="136"/>
    </font>
    <font>
      <sz val="12"/>
      <color rgb="FF000000"/>
      <name val="標楷體"/>
      <family val="4"/>
      <charset val="136"/>
    </font>
    <font>
      <b/>
      <i/>
      <sz val="12"/>
      <name val="標楷體"/>
      <family val="4"/>
      <charset val="136"/>
    </font>
    <font>
      <b/>
      <sz val="12"/>
      <color rgb="FF002060"/>
      <name val="標楷體"/>
      <family val="4"/>
      <charset val="136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C4E8B4"/>
        <bgColor indexed="64"/>
      </patternFill>
    </fill>
    <fill>
      <patternFill patternType="solid">
        <fgColor theme="5" tint="0.79998168889431442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6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4" borderId="4" xfId="0" applyFont="1" applyFill="1" applyBorder="1">
      <alignment vertical="center"/>
    </xf>
    <xf numFmtId="0" fontId="2" fillId="4" borderId="5" xfId="0" applyFont="1" applyFill="1" applyBorder="1">
      <alignment vertical="center"/>
    </xf>
    <xf numFmtId="0" fontId="2" fillId="4" borderId="7" xfId="0" applyFont="1" applyFill="1" applyBorder="1">
      <alignment vertical="center"/>
    </xf>
    <xf numFmtId="0" fontId="2" fillId="4" borderId="6" xfId="0" applyFont="1" applyFill="1" applyBorder="1">
      <alignment vertical="center"/>
    </xf>
    <xf numFmtId="0" fontId="2" fillId="4" borderId="8" xfId="0" applyFont="1" applyFill="1" applyBorder="1">
      <alignment vertical="center"/>
    </xf>
    <xf numFmtId="0" fontId="2" fillId="4" borderId="9" xfId="0" applyFont="1" applyFill="1" applyBorder="1">
      <alignment vertical="center"/>
    </xf>
    <xf numFmtId="0" fontId="2" fillId="3" borderId="4" xfId="0" applyFont="1" applyFill="1" applyBorder="1">
      <alignment vertical="center"/>
    </xf>
    <xf numFmtId="0" fontId="2" fillId="3" borderId="5" xfId="0" applyFont="1" applyFill="1" applyBorder="1">
      <alignment vertical="center"/>
    </xf>
    <xf numFmtId="0" fontId="2" fillId="3" borderId="6" xfId="0" applyFont="1" applyFill="1" applyBorder="1">
      <alignment vertical="center"/>
    </xf>
    <xf numFmtId="0" fontId="2" fillId="3" borderId="7" xfId="0" applyFont="1" applyFill="1" applyBorder="1">
      <alignment vertical="center"/>
    </xf>
    <xf numFmtId="0" fontId="2" fillId="3" borderId="8" xfId="0" applyFont="1" applyFill="1" applyBorder="1">
      <alignment vertical="center"/>
    </xf>
    <xf numFmtId="0" fontId="2" fillId="3" borderId="9" xfId="0" applyFont="1" applyFill="1" applyBorder="1">
      <alignment vertical="center"/>
    </xf>
    <xf numFmtId="0" fontId="4" fillId="5" borderId="6" xfId="0" applyFont="1" applyFill="1" applyBorder="1">
      <alignment vertical="center"/>
    </xf>
    <xf numFmtId="0" fontId="2" fillId="5" borderId="7" xfId="0" applyFont="1" applyFill="1" applyBorder="1">
      <alignment vertical="center"/>
    </xf>
    <xf numFmtId="0" fontId="2" fillId="2" borderId="11" xfId="0" applyFont="1" applyFill="1" applyBorder="1">
      <alignment vertical="center"/>
    </xf>
    <xf numFmtId="0" fontId="2" fillId="0" borderId="12" xfId="0" applyFont="1" applyBorder="1">
      <alignment vertical="center"/>
    </xf>
    <xf numFmtId="0" fontId="4" fillId="2" borderId="13" xfId="0" applyFont="1" applyFill="1" applyBorder="1">
      <alignment vertical="center"/>
    </xf>
    <xf numFmtId="0" fontId="2" fillId="2" borderId="13" xfId="0" applyFont="1" applyFill="1" applyBorder="1">
      <alignment vertical="center"/>
    </xf>
    <xf numFmtId="0" fontId="2" fillId="0" borderId="14" xfId="0" applyFont="1" applyBorder="1">
      <alignment vertical="center"/>
    </xf>
    <xf numFmtId="0" fontId="2" fillId="2" borderId="15" xfId="0" applyFont="1" applyFill="1" applyBorder="1">
      <alignment vertical="center"/>
    </xf>
    <xf numFmtId="0" fontId="2" fillId="4" borderId="10" xfId="0" applyFont="1" applyFill="1" applyBorder="1">
      <alignment vertical="center"/>
    </xf>
    <xf numFmtId="0" fontId="3" fillId="2" borderId="13" xfId="0" applyFont="1" applyFill="1" applyBorder="1">
      <alignment vertical="center"/>
    </xf>
    <xf numFmtId="0" fontId="3" fillId="2" borderId="15" xfId="0" applyFont="1" applyFill="1" applyBorder="1">
      <alignment vertical="center"/>
    </xf>
    <xf numFmtId="0" fontId="0" fillId="4" borderId="5" xfId="0" applyFill="1" applyBorder="1">
      <alignment vertical="center"/>
    </xf>
    <xf numFmtId="0" fontId="2" fillId="6" borderId="6" xfId="0" applyFont="1" applyFill="1" applyBorder="1">
      <alignment vertical="center"/>
    </xf>
    <xf numFmtId="0" fontId="2" fillId="6" borderId="7" xfId="0" applyFont="1" applyFill="1" applyBorder="1">
      <alignment vertical="center"/>
    </xf>
    <xf numFmtId="0" fontId="2" fillId="0" borderId="6" xfId="0" applyFont="1" applyBorder="1">
      <alignment vertical="center"/>
    </xf>
    <xf numFmtId="0" fontId="0" fillId="0" borderId="7" xfId="0" applyBorder="1">
      <alignment vertical="center"/>
    </xf>
    <xf numFmtId="0" fontId="2" fillId="0" borderId="8" xfId="0" applyFont="1" applyBorder="1">
      <alignment vertical="center"/>
    </xf>
    <xf numFmtId="0" fontId="0" fillId="0" borderId="9" xfId="0" applyBorder="1">
      <alignment vertical="center"/>
    </xf>
    <xf numFmtId="0" fontId="2" fillId="0" borderId="7" xfId="0" applyFont="1" applyBorder="1">
      <alignment vertical="center"/>
    </xf>
    <xf numFmtId="0" fontId="2" fillId="0" borderId="9" xfId="0" applyFont="1" applyBorder="1">
      <alignment vertical="center"/>
    </xf>
    <xf numFmtId="0" fontId="5" fillId="4" borderId="6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2" fillId="8" borderId="5" xfId="0" applyFont="1" applyFill="1" applyBorder="1">
      <alignment vertical="center"/>
    </xf>
    <xf numFmtId="0" fontId="6" fillId="8" borderId="7" xfId="0" applyFont="1" applyFill="1" applyBorder="1">
      <alignment vertical="center"/>
    </xf>
    <xf numFmtId="0" fontId="6" fillId="4" borderId="7" xfId="0" applyFont="1" applyFill="1" applyBorder="1">
      <alignment vertical="center"/>
    </xf>
    <xf numFmtId="0" fontId="6" fillId="2" borderId="13" xfId="0" applyFont="1" applyFill="1" applyBorder="1">
      <alignment vertical="center"/>
    </xf>
    <xf numFmtId="0" fontId="6" fillId="7" borderId="6" xfId="0" applyFont="1" applyFill="1" applyBorder="1">
      <alignment vertical="center"/>
    </xf>
    <xf numFmtId="0" fontId="2" fillId="4" borderId="1" xfId="0" applyFont="1" applyFill="1" applyBorder="1">
      <alignment vertical="center"/>
    </xf>
    <xf numFmtId="0" fontId="2" fillId="6" borderId="1" xfId="0" applyFont="1" applyFill="1" applyBorder="1">
      <alignment vertical="center"/>
    </xf>
    <xf numFmtId="0" fontId="3" fillId="2" borderId="1" xfId="0" applyFont="1" applyFill="1" applyBorder="1">
      <alignment vertical="center"/>
    </xf>
    <xf numFmtId="0" fontId="4" fillId="5" borderId="1" xfId="0" applyFont="1" applyFill="1" applyBorder="1">
      <alignment vertical="center"/>
    </xf>
    <xf numFmtId="0" fontId="2" fillId="5" borderId="1" xfId="0" applyFont="1" applyFill="1" applyBorder="1">
      <alignment vertical="center"/>
    </xf>
    <xf numFmtId="0" fontId="11" fillId="0" borderId="1" xfId="0" applyFont="1" applyBorder="1">
      <alignment vertical="center"/>
    </xf>
    <xf numFmtId="0" fontId="2" fillId="4" borderId="18" xfId="0" applyFont="1" applyFill="1" applyBorder="1">
      <alignment vertical="center"/>
    </xf>
    <xf numFmtId="0" fontId="0" fillId="4" borderId="18" xfId="0" applyFill="1" applyBorder="1">
      <alignment vertical="center"/>
    </xf>
    <xf numFmtId="0" fontId="2" fillId="2" borderId="18" xfId="0" applyFont="1" applyFill="1" applyBorder="1">
      <alignment vertical="center"/>
    </xf>
    <xf numFmtId="0" fontId="2" fillId="3" borderId="18" xfId="0" applyFont="1" applyFill="1" applyBorder="1">
      <alignment vertical="center"/>
    </xf>
    <xf numFmtId="0" fontId="2" fillId="2" borderId="5" xfId="0" applyFont="1" applyFill="1" applyBorder="1">
      <alignment vertical="center"/>
    </xf>
    <xf numFmtId="0" fontId="4" fillId="2" borderId="7" xfId="0" applyFont="1" applyFill="1" applyBorder="1">
      <alignment vertical="center"/>
    </xf>
    <xf numFmtId="0" fontId="2" fillId="2" borderId="7" xfId="0" applyFont="1" applyFill="1" applyBorder="1">
      <alignment vertical="center"/>
    </xf>
    <xf numFmtId="0" fontId="3" fillId="2" borderId="7" xfId="0" applyFont="1" applyFill="1" applyBorder="1">
      <alignment vertical="center"/>
    </xf>
    <xf numFmtId="0" fontId="0" fillId="0" borderId="8" xfId="0" applyBorder="1">
      <alignment vertical="center"/>
    </xf>
    <xf numFmtId="0" fontId="2" fillId="0" borderId="19" xfId="0" applyFont="1" applyBorder="1">
      <alignment vertical="center"/>
    </xf>
    <xf numFmtId="0" fontId="0" fillId="0" borderId="19" xfId="0" applyBorder="1">
      <alignment vertical="center"/>
    </xf>
    <xf numFmtId="0" fontId="3" fillId="2" borderId="19" xfId="0" applyFont="1" applyFill="1" applyBorder="1">
      <alignment vertical="center"/>
    </xf>
    <xf numFmtId="0" fontId="3" fillId="2" borderId="9" xfId="0" applyFont="1" applyFill="1" applyBorder="1">
      <alignment vertical="center"/>
    </xf>
    <xf numFmtId="0" fontId="3" fillId="8" borderId="1" xfId="0" applyFont="1" applyFill="1" applyBorder="1">
      <alignment vertical="center"/>
    </xf>
    <xf numFmtId="0" fontId="2" fillId="8" borderId="18" xfId="0" applyFont="1" applyFill="1" applyBorder="1">
      <alignment vertical="center"/>
    </xf>
    <xf numFmtId="0" fontId="2" fillId="8" borderId="1" xfId="0" applyFont="1" applyFill="1" applyBorder="1">
      <alignment vertical="center"/>
    </xf>
    <xf numFmtId="0" fontId="3" fillId="3" borderId="1" xfId="0" applyFont="1" applyFill="1" applyBorder="1">
      <alignment vertical="center"/>
    </xf>
    <xf numFmtId="0" fontId="5" fillId="3" borderId="1" xfId="0" applyFont="1" applyFill="1" applyBorder="1">
      <alignment vertical="center"/>
    </xf>
    <xf numFmtId="0" fontId="3" fillId="3" borderId="19" xfId="0" applyFont="1" applyFill="1" applyBorder="1">
      <alignment vertical="center"/>
    </xf>
    <xf numFmtId="0" fontId="5" fillId="3" borderId="19" xfId="0" applyFont="1" applyFill="1" applyBorder="1">
      <alignment vertical="center"/>
    </xf>
    <xf numFmtId="0" fontId="11" fillId="2" borderId="7" xfId="0" applyFont="1" applyFill="1" applyBorder="1">
      <alignment vertical="center"/>
    </xf>
    <xf numFmtId="0" fontId="11" fillId="2" borderId="9" xfId="0" applyFont="1" applyFill="1" applyBorder="1">
      <alignment vertical="center"/>
    </xf>
    <xf numFmtId="0" fontId="13" fillId="0" borderId="1" xfId="0" applyFont="1" applyBorder="1">
      <alignment vertical="center"/>
    </xf>
    <xf numFmtId="0" fontId="13" fillId="0" borderId="19" xfId="0" applyFont="1" applyBorder="1">
      <alignment vertical="center"/>
    </xf>
    <xf numFmtId="0" fontId="13" fillId="2" borderId="11" xfId="0" applyFont="1" applyFill="1" applyBorder="1">
      <alignment vertical="center"/>
    </xf>
    <xf numFmtId="0" fontId="13" fillId="3" borderId="6" xfId="0" applyFont="1" applyFill="1" applyBorder="1">
      <alignment vertical="center"/>
    </xf>
    <xf numFmtId="0" fontId="13" fillId="3" borderId="8" xfId="0" applyFont="1" applyFill="1" applyBorder="1">
      <alignment vertical="center"/>
    </xf>
    <xf numFmtId="0" fontId="0" fillId="0" borderId="20" xfId="0" applyBorder="1">
      <alignment vertical="center"/>
    </xf>
    <xf numFmtId="0" fontId="2" fillId="0" borderId="21" xfId="0" applyFont="1" applyBorder="1">
      <alignment vertical="center"/>
    </xf>
    <xf numFmtId="0" fontId="0" fillId="0" borderId="0" xfId="0" applyBorder="1">
      <alignment vertical="center"/>
    </xf>
    <xf numFmtId="0" fontId="13" fillId="0" borderId="2" xfId="0" applyFont="1" applyBorder="1">
      <alignment vertical="center"/>
    </xf>
    <xf numFmtId="0" fontId="0" fillId="0" borderId="2" xfId="0" applyBorder="1">
      <alignment vertical="center"/>
    </xf>
    <xf numFmtId="0" fontId="2" fillId="9" borderId="1" xfId="0" applyFont="1" applyFill="1" applyBorder="1">
      <alignment vertical="center"/>
    </xf>
    <xf numFmtId="0" fontId="3" fillId="4" borderId="1" xfId="0" applyFont="1" applyFill="1" applyBorder="1">
      <alignment vertical="center"/>
    </xf>
    <xf numFmtId="0" fontId="3" fillId="4" borderId="19" xfId="0" applyFont="1" applyFill="1" applyBorder="1">
      <alignment vertical="center"/>
    </xf>
    <xf numFmtId="0" fontId="3" fillId="4" borderId="7" xfId="0" applyFont="1" applyFill="1" applyBorder="1">
      <alignment vertical="center"/>
    </xf>
    <xf numFmtId="0" fontId="3" fillId="4" borderId="9" xfId="0" applyFont="1" applyFill="1" applyBorder="1">
      <alignment vertical="center"/>
    </xf>
    <xf numFmtId="0" fontId="3" fillId="9" borderId="1" xfId="0" applyFont="1" applyFill="1" applyBorder="1">
      <alignment vertical="center"/>
    </xf>
    <xf numFmtId="0" fontId="11" fillId="11" borderId="1" xfId="0" applyFont="1" applyFill="1" applyBorder="1">
      <alignment vertical="center"/>
    </xf>
    <xf numFmtId="0" fontId="0" fillId="12" borderId="1" xfId="0" applyFill="1" applyBorder="1">
      <alignment vertical="center"/>
    </xf>
    <xf numFmtId="0" fontId="0" fillId="0" borderId="1" xfId="0" applyBorder="1">
      <alignment vertical="center"/>
    </xf>
    <xf numFmtId="0" fontId="2" fillId="4" borderId="27" xfId="0" applyFont="1" applyFill="1" applyBorder="1">
      <alignment vertical="center"/>
    </xf>
    <xf numFmtId="0" fontId="2" fillId="4" borderId="28" xfId="0" applyFont="1" applyFill="1" applyBorder="1">
      <alignment vertical="center"/>
    </xf>
    <xf numFmtId="0" fontId="0" fillId="4" borderId="28" xfId="0" applyFill="1" applyBorder="1">
      <alignment vertical="center"/>
    </xf>
    <xf numFmtId="0" fontId="2" fillId="2" borderId="28" xfId="0" applyFont="1" applyFill="1" applyBorder="1">
      <alignment vertical="center"/>
    </xf>
    <xf numFmtId="0" fontId="2" fillId="8" borderId="28" xfId="0" applyFont="1" applyFill="1" applyBorder="1">
      <alignment vertical="center"/>
    </xf>
    <xf numFmtId="0" fontId="2" fillId="3" borderId="28" xfId="0" applyFont="1" applyFill="1" applyBorder="1">
      <alignment vertical="center"/>
    </xf>
    <xf numFmtId="0" fontId="2" fillId="4" borderId="29" xfId="0" applyFont="1" applyFill="1" applyBorder="1">
      <alignment vertical="center"/>
    </xf>
    <xf numFmtId="0" fontId="2" fillId="2" borderId="24" xfId="0" applyFont="1" applyFill="1" applyBorder="1">
      <alignment vertical="center"/>
    </xf>
    <xf numFmtId="0" fontId="2" fillId="0" borderId="4" xfId="0" applyFont="1" applyBorder="1">
      <alignment vertical="center"/>
    </xf>
    <xf numFmtId="0" fontId="2" fillId="6" borderId="18" xfId="0" applyFont="1" applyFill="1" applyBorder="1">
      <alignment vertical="center"/>
    </xf>
    <xf numFmtId="0" fontId="3" fillId="8" borderId="18" xfId="0" applyFont="1" applyFill="1" applyBorder="1">
      <alignment vertical="center"/>
    </xf>
    <xf numFmtId="0" fontId="4" fillId="5" borderId="18" xfId="0" applyFont="1" applyFill="1" applyBorder="1">
      <alignment vertical="center"/>
    </xf>
    <xf numFmtId="0" fontId="2" fillId="5" borderId="18" xfId="0" applyFont="1" applyFill="1" applyBorder="1">
      <alignment vertical="center"/>
    </xf>
    <xf numFmtId="0" fontId="5" fillId="6" borderId="1" xfId="0" applyFont="1" applyFill="1" applyBorder="1">
      <alignment vertical="center"/>
    </xf>
    <xf numFmtId="0" fontId="0" fillId="0" borderId="12" xfId="0" applyBorder="1">
      <alignment vertical="center"/>
    </xf>
    <xf numFmtId="0" fontId="0" fillId="0" borderId="25" xfId="0" applyBorder="1">
      <alignment vertical="center"/>
    </xf>
    <xf numFmtId="0" fontId="0" fillId="0" borderId="14" xfId="0" applyBorder="1">
      <alignment vertical="center"/>
    </xf>
    <xf numFmtId="0" fontId="13" fillId="9" borderId="19" xfId="0" applyFont="1" applyFill="1" applyBorder="1">
      <alignment vertical="center"/>
    </xf>
    <xf numFmtId="0" fontId="0" fillId="0" borderId="31" xfId="0" applyBorder="1">
      <alignment vertical="center"/>
    </xf>
    <xf numFmtId="0" fontId="0" fillId="0" borderId="26" xfId="0" applyBorder="1">
      <alignment vertical="center"/>
    </xf>
    <xf numFmtId="0" fontId="8" fillId="0" borderId="0" xfId="0" applyFont="1" applyBorder="1">
      <alignment vertical="center"/>
    </xf>
    <xf numFmtId="0" fontId="9" fillId="0" borderId="31" xfId="0" applyFont="1" applyBorder="1">
      <alignment vertical="center"/>
    </xf>
    <xf numFmtId="0" fontId="8" fillId="0" borderId="31" xfId="0" applyFont="1" applyBorder="1">
      <alignment vertical="center"/>
    </xf>
    <xf numFmtId="0" fontId="8" fillId="0" borderId="1" xfId="0" applyFont="1" applyBorder="1">
      <alignment vertical="center"/>
    </xf>
    <xf numFmtId="0" fontId="13" fillId="2" borderId="18" xfId="0" applyFont="1" applyFill="1" applyBorder="1">
      <alignment vertical="center"/>
    </xf>
    <xf numFmtId="0" fontId="0" fillId="0" borderId="6" xfId="0" applyBorder="1">
      <alignment vertical="center"/>
    </xf>
    <xf numFmtId="0" fontId="13" fillId="2" borderId="33" xfId="0" applyFont="1" applyFill="1" applyBorder="1">
      <alignment vertical="center"/>
    </xf>
    <xf numFmtId="0" fontId="0" fillId="0" borderId="3" xfId="0" applyBorder="1">
      <alignment vertical="center"/>
    </xf>
    <xf numFmtId="0" fontId="11" fillId="0" borderId="19" xfId="0" applyFont="1" applyBorder="1">
      <alignment vertical="center"/>
    </xf>
    <xf numFmtId="0" fontId="13" fillId="2" borderId="34" xfId="0" applyFont="1" applyFill="1" applyBorder="1">
      <alignment vertical="center"/>
    </xf>
    <xf numFmtId="0" fontId="0" fillId="0" borderId="34" xfId="0" applyBorder="1">
      <alignment vertical="center"/>
    </xf>
    <xf numFmtId="0" fontId="0" fillId="0" borderId="32" xfId="0" applyBorder="1">
      <alignment vertical="center"/>
    </xf>
    <xf numFmtId="0" fontId="2" fillId="4" borderId="35" xfId="0" applyFont="1" applyFill="1" applyBorder="1">
      <alignment vertical="center"/>
    </xf>
    <xf numFmtId="0" fontId="2" fillId="0" borderId="36" xfId="0" applyFont="1" applyBorder="1">
      <alignment vertical="center"/>
    </xf>
    <xf numFmtId="0" fontId="0" fillId="0" borderId="36" xfId="0" applyBorder="1">
      <alignment vertical="center"/>
    </xf>
    <xf numFmtId="0" fontId="2" fillId="3" borderId="3" xfId="0" applyFont="1" applyFill="1" applyBorder="1">
      <alignment vertical="center"/>
    </xf>
    <xf numFmtId="0" fontId="2" fillId="4" borderId="3" xfId="0" applyFont="1" applyFill="1" applyBorder="1">
      <alignment vertical="center"/>
    </xf>
    <xf numFmtId="0" fontId="2" fillId="2" borderId="23" xfId="0" applyFont="1" applyFill="1" applyBorder="1">
      <alignment vertical="center"/>
    </xf>
    <xf numFmtId="0" fontId="0" fillId="0" borderId="18" xfId="0" applyBorder="1">
      <alignment vertical="center"/>
    </xf>
    <xf numFmtId="0" fontId="3" fillId="2" borderId="18" xfId="0" applyFont="1" applyFill="1" applyBorder="1">
      <alignment vertical="center"/>
    </xf>
    <xf numFmtId="0" fontId="0" fillId="0" borderId="37" xfId="0" applyBorder="1">
      <alignment vertical="center"/>
    </xf>
    <xf numFmtId="0" fontId="3" fillId="2" borderId="38" xfId="0" applyFont="1" applyFill="1" applyBorder="1">
      <alignment vertical="center"/>
    </xf>
    <xf numFmtId="0" fontId="13" fillId="3" borderId="21" xfId="0" applyFont="1" applyFill="1" applyBorder="1">
      <alignment vertical="center"/>
    </xf>
    <xf numFmtId="0" fontId="2" fillId="3" borderId="37" xfId="0" applyFont="1" applyFill="1" applyBorder="1">
      <alignment vertical="center"/>
    </xf>
    <xf numFmtId="0" fontId="2" fillId="4" borderId="21" xfId="0" applyFont="1" applyFill="1" applyBorder="1">
      <alignment vertical="center"/>
    </xf>
    <xf numFmtId="0" fontId="2" fillId="4" borderId="37" xfId="0" applyFont="1" applyFill="1" applyBorder="1">
      <alignment vertical="center"/>
    </xf>
    <xf numFmtId="0" fontId="2" fillId="2" borderId="38" xfId="0" applyFont="1" applyFill="1" applyBorder="1">
      <alignment vertical="center"/>
    </xf>
    <xf numFmtId="0" fontId="2" fillId="0" borderId="1" xfId="0" applyFont="1" applyFill="1" applyBorder="1">
      <alignment vertical="center"/>
    </xf>
    <xf numFmtId="0" fontId="9" fillId="0" borderId="19" xfId="0" applyFont="1" applyBorder="1">
      <alignment vertical="center"/>
    </xf>
    <xf numFmtId="0" fontId="2" fillId="6" borderId="21" xfId="0" applyFont="1" applyFill="1" applyBorder="1">
      <alignment vertical="center"/>
    </xf>
    <xf numFmtId="0" fontId="2" fillId="6" borderId="37" xfId="0" applyFont="1" applyFill="1" applyBorder="1">
      <alignment vertical="center"/>
    </xf>
    <xf numFmtId="0" fontId="4" fillId="5" borderId="21" xfId="0" applyFont="1" applyFill="1" applyBorder="1">
      <alignment vertical="center"/>
    </xf>
    <xf numFmtId="0" fontId="2" fillId="5" borderId="37" xfId="0" applyFont="1" applyFill="1" applyBorder="1">
      <alignment vertical="center"/>
    </xf>
    <xf numFmtId="0" fontId="4" fillId="2" borderId="38" xfId="0" applyFont="1" applyFill="1" applyBorder="1">
      <alignment vertical="center"/>
    </xf>
    <xf numFmtId="0" fontId="13" fillId="3" borderId="1" xfId="0" applyFont="1" applyFill="1" applyBorder="1">
      <alignment vertical="center"/>
    </xf>
    <xf numFmtId="0" fontId="0" fillId="0" borderId="22" xfId="0" applyBorder="1">
      <alignment vertical="center"/>
    </xf>
    <xf numFmtId="0" fontId="2" fillId="0" borderId="3" xfId="0" applyFont="1" applyFill="1" applyBorder="1">
      <alignment vertical="center"/>
    </xf>
    <xf numFmtId="0" fontId="0" fillId="0" borderId="23" xfId="0" applyBorder="1">
      <alignment vertical="center"/>
    </xf>
    <xf numFmtId="0" fontId="2" fillId="0" borderId="18" xfId="0" applyFont="1" applyBorder="1">
      <alignment vertical="center"/>
    </xf>
    <xf numFmtId="0" fontId="13" fillId="3" borderId="18" xfId="0" applyFont="1" applyFill="1" applyBorder="1">
      <alignment vertical="center"/>
    </xf>
    <xf numFmtId="0" fontId="13" fillId="3" borderId="19" xfId="0" applyFont="1" applyFill="1" applyBorder="1">
      <alignment vertical="center"/>
    </xf>
    <xf numFmtId="0" fontId="2" fillId="3" borderId="19" xfId="0" applyFont="1" applyFill="1" applyBorder="1">
      <alignment vertical="center"/>
    </xf>
    <xf numFmtId="0" fontId="2" fillId="4" borderId="19" xfId="0" applyFont="1" applyFill="1" applyBorder="1">
      <alignment vertical="center"/>
    </xf>
    <xf numFmtId="0" fontId="2" fillId="2" borderId="9" xfId="0" applyFont="1" applyFill="1" applyBorder="1">
      <alignment vertical="center"/>
    </xf>
    <xf numFmtId="0" fontId="2" fillId="0" borderId="22" xfId="0" applyFont="1" applyBorder="1">
      <alignment vertical="center"/>
    </xf>
    <xf numFmtId="0" fontId="0" fillId="4" borderId="3" xfId="0" applyFill="1" applyBorder="1">
      <alignment vertical="center"/>
    </xf>
    <xf numFmtId="0" fontId="2" fillId="2" borderId="3" xfId="0" applyFont="1" applyFill="1" applyBorder="1">
      <alignment vertical="center"/>
    </xf>
    <xf numFmtId="0" fontId="2" fillId="8" borderId="3" xfId="0" applyFont="1" applyFill="1" applyBorder="1">
      <alignment vertical="center"/>
    </xf>
    <xf numFmtId="0" fontId="2" fillId="4" borderId="2" xfId="0" applyFont="1" applyFill="1" applyBorder="1">
      <alignment vertical="center"/>
    </xf>
    <xf numFmtId="0" fontId="2" fillId="2" borderId="37" xfId="0" applyFont="1" applyFill="1" applyBorder="1">
      <alignment vertical="center"/>
    </xf>
    <xf numFmtId="0" fontId="0" fillId="2" borderId="1" xfId="0" applyFill="1" applyBorder="1">
      <alignment vertical="center"/>
    </xf>
    <xf numFmtId="0" fontId="2" fillId="2" borderId="4" xfId="0" applyFont="1" applyFill="1" applyBorder="1">
      <alignment vertical="center"/>
    </xf>
    <xf numFmtId="0" fontId="2" fillId="12" borderId="6" xfId="0" applyFont="1" applyFill="1" applyBorder="1">
      <alignment vertical="center"/>
    </xf>
    <xf numFmtId="0" fontId="17" fillId="13" borderId="6" xfId="0" applyFont="1" applyFill="1" applyBorder="1">
      <alignment vertical="center"/>
    </xf>
    <xf numFmtId="0" fontId="18" fillId="0" borderId="32" xfId="0" applyFont="1" applyBorder="1">
      <alignment vertical="center"/>
    </xf>
    <xf numFmtId="0" fontId="0" fillId="4" borderId="8" xfId="0" applyFill="1" applyBorder="1">
      <alignment vertical="center"/>
    </xf>
    <xf numFmtId="0" fontId="2" fillId="12" borderId="1" xfId="0" applyFont="1" applyFill="1" applyBorder="1">
      <alignment vertical="center"/>
    </xf>
    <xf numFmtId="0" fontId="4" fillId="12" borderId="1" xfId="0" applyFont="1" applyFill="1" applyBorder="1">
      <alignment vertical="center"/>
    </xf>
    <xf numFmtId="0" fontId="2" fillId="13" borderId="1" xfId="0" applyFont="1" applyFill="1" applyBorder="1">
      <alignment vertical="center"/>
    </xf>
    <xf numFmtId="0" fontId="4" fillId="2" borderId="18" xfId="0" applyFont="1" applyFill="1" applyBorder="1">
      <alignment vertical="center"/>
    </xf>
    <xf numFmtId="0" fontId="2" fillId="0" borderId="5" xfId="0" applyFont="1" applyBorder="1">
      <alignment vertical="center"/>
    </xf>
    <xf numFmtId="0" fontId="19" fillId="0" borderId="19" xfId="0" applyFont="1" applyBorder="1">
      <alignment vertical="center"/>
    </xf>
    <xf numFmtId="177" fontId="20" fillId="13" borderId="1" xfId="0" applyNumberFormat="1" applyFont="1" applyFill="1" applyBorder="1">
      <alignment vertical="center"/>
    </xf>
    <xf numFmtId="177" fontId="10" fillId="0" borderId="7" xfId="0" applyNumberFormat="1" applyFont="1" applyBorder="1">
      <alignment vertical="center"/>
    </xf>
    <xf numFmtId="0" fontId="13" fillId="2" borderId="1" xfId="0" applyFont="1" applyFill="1" applyBorder="1">
      <alignment vertical="center"/>
    </xf>
    <xf numFmtId="0" fontId="12" fillId="3" borderId="6" xfId="0" applyFont="1" applyFill="1" applyBorder="1">
      <alignment vertical="center"/>
    </xf>
    <xf numFmtId="177" fontId="2" fillId="3" borderId="6" xfId="0" applyNumberFormat="1" applyFont="1" applyFill="1" applyBorder="1">
      <alignment vertical="center"/>
    </xf>
    <xf numFmtId="178" fontId="2" fillId="3" borderId="1" xfId="0" applyNumberFormat="1" applyFont="1" applyFill="1" applyBorder="1">
      <alignment vertical="center"/>
    </xf>
    <xf numFmtId="177" fontId="4" fillId="2" borderId="5" xfId="0" applyNumberFormat="1" applyFont="1" applyFill="1" applyBorder="1">
      <alignment vertical="center"/>
    </xf>
    <xf numFmtId="177" fontId="4" fillId="2" borderId="13" xfId="0" applyNumberFormat="1" applyFont="1" applyFill="1" applyBorder="1">
      <alignment vertical="center"/>
    </xf>
    <xf numFmtId="178" fontId="10" fillId="0" borderId="7" xfId="0" applyNumberFormat="1" applyFont="1" applyBorder="1">
      <alignment vertical="center"/>
    </xf>
    <xf numFmtId="178" fontId="18" fillId="0" borderId="34" xfId="0" applyNumberFormat="1" applyFont="1" applyBorder="1">
      <alignment vertical="center"/>
    </xf>
    <xf numFmtId="0" fontId="5" fillId="10" borderId="13" xfId="0" applyFont="1" applyFill="1" applyBorder="1">
      <alignment vertical="center"/>
    </xf>
    <xf numFmtId="0" fontId="3" fillId="10" borderId="6" xfId="0" applyFont="1" applyFill="1" applyBorder="1">
      <alignment vertical="center"/>
    </xf>
    <xf numFmtId="0" fontId="0" fillId="6" borderId="0" xfId="0" applyFill="1">
      <alignment vertical="center"/>
    </xf>
    <xf numFmtId="0" fontId="0" fillId="6" borderId="1" xfId="0" applyFill="1" applyBorder="1">
      <alignment vertical="center"/>
    </xf>
    <xf numFmtId="0" fontId="2" fillId="6" borderId="9" xfId="0" applyFont="1" applyFill="1" applyBorder="1">
      <alignment vertical="center"/>
    </xf>
    <xf numFmtId="0" fontId="2" fillId="14" borderId="17" xfId="0" applyFont="1" applyFill="1" applyBorder="1">
      <alignment vertical="center"/>
    </xf>
    <xf numFmtId="0" fontId="24" fillId="5" borderId="6" xfId="0" applyFont="1" applyFill="1" applyBorder="1">
      <alignment vertical="center"/>
    </xf>
    <xf numFmtId="0" fontId="24" fillId="2" borderId="23" xfId="0" applyFont="1" applyFill="1" applyBorder="1">
      <alignment vertical="center"/>
    </xf>
    <xf numFmtId="0" fontId="24" fillId="2" borderId="7" xfId="0" applyFont="1" applyFill="1" applyBorder="1">
      <alignment vertical="center"/>
    </xf>
    <xf numFmtId="0" fontId="24" fillId="2" borderId="9" xfId="0" applyFont="1" applyFill="1" applyBorder="1">
      <alignment vertical="center"/>
    </xf>
    <xf numFmtId="0" fontId="25" fillId="0" borderId="0" xfId="0" applyFont="1">
      <alignment vertical="center"/>
    </xf>
    <xf numFmtId="0" fontId="26" fillId="0" borderId="0" xfId="0" applyFont="1">
      <alignment vertical="center"/>
    </xf>
    <xf numFmtId="0" fontId="9" fillId="0" borderId="9" xfId="0" applyFont="1" applyBorder="1">
      <alignment vertical="center"/>
    </xf>
    <xf numFmtId="0" fontId="4" fillId="5" borderId="30" xfId="0" applyFont="1" applyFill="1" applyBorder="1">
      <alignment vertical="center"/>
    </xf>
    <xf numFmtId="0" fontId="2" fillId="4" borderId="30" xfId="0" applyFont="1" applyFill="1" applyBorder="1">
      <alignment vertical="center"/>
    </xf>
    <xf numFmtId="0" fontId="2" fillId="3" borderId="29" xfId="0" applyFont="1" applyFill="1" applyBorder="1">
      <alignment vertical="center"/>
    </xf>
    <xf numFmtId="0" fontId="2" fillId="3" borderId="39" xfId="0" applyFont="1" applyFill="1" applyBorder="1">
      <alignment vertical="center"/>
    </xf>
    <xf numFmtId="0" fontId="2" fillId="3" borderId="41" xfId="0" applyFont="1" applyFill="1" applyBorder="1">
      <alignment vertical="center"/>
    </xf>
    <xf numFmtId="0" fontId="2" fillId="6" borderId="16" xfId="0" applyFont="1" applyFill="1" applyBorder="1">
      <alignment vertical="center"/>
    </xf>
    <xf numFmtId="0" fontId="15" fillId="0" borderId="16" xfId="0" applyFont="1" applyBorder="1">
      <alignment vertical="center"/>
    </xf>
    <xf numFmtId="0" fontId="13" fillId="3" borderId="42" xfId="0" applyFont="1" applyFill="1" applyBorder="1">
      <alignment vertical="center"/>
    </xf>
    <xf numFmtId="0" fontId="13" fillId="2" borderId="24" xfId="0" applyFont="1" applyFill="1" applyBorder="1">
      <alignment vertical="center"/>
    </xf>
    <xf numFmtId="0" fontId="3" fillId="2" borderId="26" xfId="0" applyFont="1" applyFill="1" applyBorder="1">
      <alignment vertical="center"/>
    </xf>
    <xf numFmtId="0" fontId="3" fillId="2" borderId="40" xfId="0" applyFont="1" applyFill="1" applyBorder="1">
      <alignment vertical="center"/>
    </xf>
    <xf numFmtId="0" fontId="3" fillId="2" borderId="41" xfId="0" applyFont="1" applyFill="1" applyBorder="1">
      <alignment vertical="center"/>
    </xf>
    <xf numFmtId="0" fontId="0" fillId="16" borderId="43" xfId="0" applyFill="1" applyBorder="1">
      <alignment vertical="center"/>
    </xf>
    <xf numFmtId="0" fontId="2" fillId="16" borderId="44" xfId="0" applyFont="1" applyFill="1" applyBorder="1">
      <alignment vertical="center"/>
    </xf>
    <xf numFmtId="0" fontId="3" fillId="3" borderId="32" xfId="0" applyFont="1" applyFill="1" applyBorder="1">
      <alignment vertical="center"/>
    </xf>
    <xf numFmtId="0" fontId="5" fillId="3" borderId="39" xfId="0" applyFont="1" applyFill="1" applyBorder="1">
      <alignment vertical="center"/>
    </xf>
    <xf numFmtId="0" fontId="2" fillId="6" borderId="30" xfId="0" applyFont="1" applyFill="1" applyBorder="1">
      <alignment vertical="center"/>
    </xf>
    <xf numFmtId="0" fontId="15" fillId="0" borderId="1" xfId="0" applyFont="1" applyBorder="1">
      <alignment vertical="center"/>
    </xf>
    <xf numFmtId="0" fontId="2" fillId="15" borderId="1" xfId="0" applyFont="1" applyFill="1" applyBorder="1">
      <alignment vertical="center"/>
    </xf>
    <xf numFmtId="0" fontId="9" fillId="15" borderId="1" xfId="0" applyFont="1" applyFill="1" applyBorder="1">
      <alignment vertical="center"/>
    </xf>
    <xf numFmtId="177" fontId="10" fillId="2" borderId="19" xfId="0" applyNumberFormat="1" applyFont="1" applyFill="1" applyBorder="1">
      <alignment vertical="center"/>
    </xf>
    <xf numFmtId="0" fontId="9" fillId="2" borderId="1" xfId="0" applyFont="1" applyFill="1" applyBorder="1">
      <alignment vertical="center"/>
    </xf>
    <xf numFmtId="0" fontId="0" fillId="4" borderId="0" xfId="0" applyFill="1" applyBorder="1">
      <alignment vertical="center"/>
    </xf>
    <xf numFmtId="0" fontId="2" fillId="4" borderId="0" xfId="0" applyFont="1" applyFill="1">
      <alignment vertical="center"/>
    </xf>
    <xf numFmtId="0" fontId="0" fillId="0" borderId="21" xfId="0" applyBorder="1">
      <alignment vertical="center"/>
    </xf>
    <xf numFmtId="0" fontId="13" fillId="0" borderId="2" xfId="0" applyFont="1" applyFill="1" applyBorder="1">
      <alignment vertical="center"/>
    </xf>
    <xf numFmtId="0" fontId="3" fillId="2" borderId="2" xfId="0" applyFont="1" applyFill="1" applyBorder="1">
      <alignment vertical="center"/>
    </xf>
    <xf numFmtId="0" fontId="0" fillId="6" borderId="2" xfId="0" applyFill="1" applyBorder="1">
      <alignment vertical="center"/>
    </xf>
    <xf numFmtId="0" fontId="2" fillId="10" borderId="1" xfId="0" applyFont="1" applyFill="1" applyBorder="1">
      <alignment vertical="center"/>
    </xf>
    <xf numFmtId="0" fontId="11" fillId="10" borderId="1" xfId="0" applyFont="1" applyFill="1" applyBorder="1">
      <alignment vertical="center"/>
    </xf>
    <xf numFmtId="0" fontId="0" fillId="10" borderId="1" xfId="0" applyFill="1" applyBorder="1">
      <alignment vertical="center"/>
    </xf>
    <xf numFmtId="0" fontId="2" fillId="2" borderId="1" xfId="0" applyFont="1" applyFill="1" applyBorder="1">
      <alignment vertical="center"/>
    </xf>
    <xf numFmtId="0" fontId="21" fillId="10" borderId="1" xfId="0" applyFont="1" applyFill="1" applyBorder="1">
      <alignment vertical="center"/>
    </xf>
    <xf numFmtId="177" fontId="0" fillId="12" borderId="1" xfId="0" applyNumberFormat="1" applyFill="1" applyBorder="1">
      <alignment vertical="center"/>
    </xf>
    <xf numFmtId="0" fontId="2" fillId="11" borderId="1" xfId="0" applyFont="1" applyFill="1" applyBorder="1">
      <alignment vertical="center"/>
    </xf>
    <xf numFmtId="0" fontId="0" fillId="11" borderId="1" xfId="0" applyFill="1" applyBorder="1">
      <alignment vertical="center"/>
    </xf>
    <xf numFmtId="0" fontId="0" fillId="0" borderId="4" xfId="0" applyBorder="1">
      <alignment vertical="center"/>
    </xf>
    <xf numFmtId="0" fontId="2" fillId="9" borderId="18" xfId="0" applyFont="1" applyFill="1" applyBorder="1">
      <alignment vertical="center"/>
    </xf>
    <xf numFmtId="0" fontId="3" fillId="9" borderId="18" xfId="0" applyFont="1" applyFill="1" applyBorder="1">
      <alignment vertical="center"/>
    </xf>
    <xf numFmtId="0" fontId="2" fillId="10" borderId="18" xfId="0" applyFont="1" applyFill="1" applyBorder="1">
      <alignment vertical="center"/>
    </xf>
    <xf numFmtId="0" fontId="11" fillId="10" borderId="18" xfId="0" applyFont="1" applyFill="1" applyBorder="1">
      <alignment vertical="center"/>
    </xf>
    <xf numFmtId="0" fontId="0" fillId="10" borderId="18" xfId="0" applyFill="1" applyBorder="1">
      <alignment vertical="center"/>
    </xf>
    <xf numFmtId="0" fontId="0" fillId="0" borderId="5" xfId="0" applyBorder="1">
      <alignment vertical="center"/>
    </xf>
    <xf numFmtId="176" fontId="0" fillId="0" borderId="7" xfId="0" applyNumberFormat="1" applyBorder="1">
      <alignment vertical="center"/>
    </xf>
    <xf numFmtId="0" fontId="27" fillId="10" borderId="1" xfId="0" applyFont="1" applyFill="1" applyBorder="1">
      <alignment vertical="center"/>
    </xf>
    <xf numFmtId="0" fontId="27" fillId="11" borderId="19" xfId="0" applyFont="1" applyFill="1" applyBorder="1">
      <alignment vertical="center"/>
    </xf>
    <xf numFmtId="0" fontId="2" fillId="11" borderId="19" xfId="0" applyFont="1" applyFill="1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2" fillId="7" borderId="4" xfId="0" applyFont="1" applyFill="1" applyBorder="1">
      <alignment vertical="center"/>
    </xf>
    <xf numFmtId="0" fontId="3" fillId="7" borderId="5" xfId="0" applyFont="1" applyFill="1" applyBorder="1">
      <alignment vertical="center"/>
    </xf>
    <xf numFmtId="0" fontId="2" fillId="7" borderId="8" xfId="0" applyFont="1" applyFill="1" applyBorder="1">
      <alignment vertical="center"/>
    </xf>
    <xf numFmtId="0" fontId="3" fillId="7" borderId="9" xfId="0" applyFont="1" applyFill="1" applyBorder="1">
      <alignment vertical="center"/>
    </xf>
    <xf numFmtId="0" fontId="11" fillId="2" borderId="1" xfId="0" applyFont="1" applyFill="1" applyBorder="1">
      <alignment vertical="center"/>
    </xf>
    <xf numFmtId="0" fontId="3" fillId="0" borderId="1" xfId="0" applyFont="1" applyBorder="1">
      <alignment vertical="center"/>
    </xf>
    <xf numFmtId="0" fontId="10" fillId="2" borderId="1" xfId="0" applyFont="1" applyFill="1" applyBorder="1">
      <alignment vertical="center"/>
    </xf>
    <xf numFmtId="0" fontId="3" fillId="3" borderId="7" xfId="0" applyFont="1" applyFill="1" applyBorder="1">
      <alignment vertical="center"/>
    </xf>
    <xf numFmtId="0" fontId="28" fillId="3" borderId="7" xfId="0" applyFont="1" applyFill="1" applyBorder="1">
      <alignment vertical="center"/>
    </xf>
    <xf numFmtId="0" fontId="16" fillId="2" borderId="2" xfId="0" applyFont="1" applyFill="1" applyBorder="1">
      <alignment vertical="center"/>
    </xf>
    <xf numFmtId="0" fontId="27" fillId="12" borderId="45" xfId="0" applyFont="1" applyFill="1" applyBorder="1">
      <alignment vertical="center"/>
    </xf>
    <xf numFmtId="0" fontId="29" fillId="4" borderId="4" xfId="0" applyFont="1" applyFill="1" applyBorder="1">
      <alignment vertical="center"/>
    </xf>
    <xf numFmtId="0" fontId="22" fillId="0" borderId="7" xfId="0" applyFont="1" applyBorder="1">
      <alignment vertical="center"/>
    </xf>
    <xf numFmtId="0" fontId="31" fillId="0" borderId="1" xfId="0" applyFont="1" applyBorder="1">
      <alignment vertical="center"/>
    </xf>
    <xf numFmtId="0" fontId="30" fillId="0" borderId="7" xfId="0" applyFont="1" applyBorder="1">
      <alignment vertical="center"/>
    </xf>
    <xf numFmtId="0" fontId="32" fillId="0" borderId="0" xfId="0" applyFont="1">
      <alignment vertical="center"/>
    </xf>
    <xf numFmtId="0" fontId="3" fillId="8" borderId="13" xfId="0" applyFont="1" applyFill="1" applyBorder="1">
      <alignment vertical="center"/>
    </xf>
    <xf numFmtId="0" fontId="3" fillId="8" borderId="15" xfId="0" applyFont="1" applyFill="1" applyBorder="1">
      <alignment vertical="center"/>
    </xf>
    <xf numFmtId="0" fontId="3" fillId="8" borderId="38" xfId="0" applyFont="1" applyFill="1" applyBorder="1">
      <alignment vertical="center"/>
    </xf>
    <xf numFmtId="0" fontId="33" fillId="2" borderId="7" xfId="0" applyFont="1" applyFill="1" applyBorder="1">
      <alignment vertical="center"/>
    </xf>
    <xf numFmtId="0" fontId="33" fillId="2" borderId="9" xfId="0" applyFont="1" applyFill="1" applyBorder="1">
      <alignment vertical="center"/>
    </xf>
    <xf numFmtId="0" fontId="29" fillId="13" borderId="4" xfId="0" applyFont="1" applyFill="1" applyBorder="1">
      <alignment vertical="center"/>
    </xf>
    <xf numFmtId="0" fontId="29" fillId="13" borderId="18" xfId="0" applyFont="1" applyFill="1" applyBorder="1">
      <alignment vertical="center"/>
    </xf>
    <xf numFmtId="0" fontId="29" fillId="2" borderId="5" xfId="0" applyFont="1" applyFill="1" applyBorder="1">
      <alignment vertical="center"/>
    </xf>
    <xf numFmtId="0" fontId="29" fillId="13" borderId="6" xfId="0" applyFont="1" applyFill="1" applyBorder="1">
      <alignment vertical="center"/>
    </xf>
    <xf numFmtId="0" fontId="29" fillId="13" borderId="1" xfId="0" applyFont="1" applyFill="1" applyBorder="1">
      <alignment vertical="center"/>
    </xf>
    <xf numFmtId="0" fontId="29" fillId="13" borderId="8" xfId="0" applyFont="1" applyFill="1" applyBorder="1">
      <alignment vertical="center"/>
    </xf>
    <xf numFmtId="0" fontId="29" fillId="13" borderId="19" xfId="0" applyFont="1" applyFill="1" applyBorder="1">
      <alignment vertical="center"/>
    </xf>
    <xf numFmtId="0" fontId="8" fillId="4" borderId="23" xfId="0" applyFont="1" applyFill="1" applyBorder="1">
      <alignment vertical="center"/>
    </xf>
    <xf numFmtId="0" fontId="8" fillId="4" borderId="7" xfId="0" applyFont="1" applyFill="1" applyBorder="1">
      <alignment vertical="center"/>
    </xf>
    <xf numFmtId="0" fontId="34" fillId="0" borderId="1" xfId="0" applyFont="1" applyBorder="1">
      <alignment vertical="center"/>
    </xf>
    <xf numFmtId="177" fontId="15" fillId="12" borderId="1" xfId="0" applyNumberFormat="1" applyFont="1" applyFill="1" applyBorder="1">
      <alignment vertical="center"/>
    </xf>
    <xf numFmtId="177" fontId="5" fillId="6" borderId="1" xfId="0" applyNumberFormat="1" applyFont="1" applyFill="1" applyBorder="1">
      <alignment vertical="center"/>
    </xf>
    <xf numFmtId="178" fontId="5" fillId="6" borderId="1" xfId="0" applyNumberFormat="1" applyFont="1" applyFill="1" applyBorder="1">
      <alignment vertical="center"/>
    </xf>
    <xf numFmtId="0" fontId="35" fillId="0" borderId="0" xfId="0" applyFont="1">
      <alignment vertical="center"/>
    </xf>
    <xf numFmtId="0" fontId="11" fillId="12" borderId="16" xfId="0" applyFont="1" applyFill="1" applyBorder="1">
      <alignment vertical="center"/>
    </xf>
    <xf numFmtId="0" fontId="36" fillId="8" borderId="1" xfId="0" applyFont="1" applyFill="1" applyBorder="1">
      <alignment vertical="center"/>
    </xf>
    <xf numFmtId="0" fontId="3" fillId="0" borderId="18" xfId="0" applyFont="1" applyBorder="1">
      <alignment vertical="center"/>
    </xf>
    <xf numFmtId="0" fontId="2" fillId="2" borderId="6" xfId="0" applyFont="1" applyFill="1" applyBorder="1">
      <alignment vertical="center"/>
    </xf>
    <xf numFmtId="0" fontId="2" fillId="9" borderId="6" xfId="0" applyFont="1" applyFill="1" applyBorder="1">
      <alignment vertical="center"/>
    </xf>
    <xf numFmtId="0" fontId="2" fillId="9" borderId="7" xfId="0" applyFont="1" applyFill="1" applyBorder="1">
      <alignment vertical="center"/>
    </xf>
    <xf numFmtId="0" fontId="27" fillId="8" borderId="1" xfId="0" applyFont="1" applyFill="1" applyBorder="1">
      <alignment vertical="center"/>
    </xf>
    <xf numFmtId="0" fontId="11" fillId="0" borderId="3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7" xfId="0" applyFont="1" applyBorder="1">
      <alignment vertical="center"/>
    </xf>
    <xf numFmtId="0" fontId="38" fillId="0" borderId="1" xfId="0" applyFont="1" applyBorder="1">
      <alignment vertical="center"/>
    </xf>
    <xf numFmtId="0" fontId="39" fillId="17" borderId="1" xfId="0" applyFont="1" applyFill="1" applyBorder="1">
      <alignment vertical="center"/>
    </xf>
    <xf numFmtId="0" fontId="40" fillId="0" borderId="1" xfId="0" applyFont="1" applyBorder="1">
      <alignment vertical="center"/>
    </xf>
    <xf numFmtId="0" fontId="5" fillId="2" borderId="1" xfId="0" applyFont="1" applyFill="1" applyBorder="1">
      <alignment vertical="center"/>
    </xf>
    <xf numFmtId="0" fontId="5" fillId="4" borderId="4" xfId="0" applyFont="1" applyFill="1" applyBorder="1">
      <alignment vertical="center"/>
    </xf>
    <xf numFmtId="0" fontId="3" fillId="4" borderId="18" xfId="0" applyFont="1" applyFill="1" applyBorder="1">
      <alignment vertical="center"/>
    </xf>
    <xf numFmtId="0" fontId="5" fillId="4" borderId="5" xfId="0" applyFont="1" applyFill="1" applyBorder="1">
      <alignment vertical="center"/>
    </xf>
    <xf numFmtId="0" fontId="5" fillId="4" borderId="7" xfId="0" applyFont="1" applyFill="1" applyBorder="1">
      <alignment vertical="center"/>
    </xf>
    <xf numFmtId="0" fontId="5" fillId="4" borderId="8" xfId="0" applyFont="1" applyFill="1" applyBorder="1">
      <alignment vertical="center"/>
    </xf>
    <xf numFmtId="0" fontId="5" fillId="4" borderId="19" xfId="0" applyFont="1" applyFill="1" applyBorder="1">
      <alignment vertical="center"/>
    </xf>
    <xf numFmtId="0" fontId="5" fillId="4" borderId="9" xfId="0" applyFont="1" applyFill="1" applyBorder="1">
      <alignment vertical="center"/>
    </xf>
    <xf numFmtId="0" fontId="5" fillId="0" borderId="18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9" xfId="0" applyFont="1" applyBorder="1">
      <alignment vertical="center"/>
    </xf>
    <xf numFmtId="0" fontId="5" fillId="0" borderId="9" xfId="0" applyFont="1" applyBorder="1">
      <alignment vertical="center"/>
    </xf>
    <xf numFmtId="0" fontId="2" fillId="0" borderId="46" xfId="0" applyFont="1" applyBorder="1">
      <alignment vertical="center"/>
    </xf>
    <xf numFmtId="0" fontId="2" fillId="0" borderId="47" xfId="0" applyFont="1" applyBorder="1">
      <alignment vertical="center"/>
    </xf>
    <xf numFmtId="0" fontId="2" fillId="0" borderId="48" xfId="0" applyFont="1" applyBorder="1">
      <alignment vertical="center"/>
    </xf>
    <xf numFmtId="0" fontId="11" fillId="2" borderId="5" xfId="0" applyFont="1" applyFill="1" applyBorder="1">
      <alignment vertical="center"/>
    </xf>
    <xf numFmtId="0" fontId="2" fillId="0" borderId="0" xfId="0" applyFont="1" applyBorder="1">
      <alignment vertical="center"/>
    </xf>
    <xf numFmtId="0" fontId="2" fillId="0" borderId="49" xfId="0" applyFont="1" applyBorder="1">
      <alignment vertical="center"/>
    </xf>
    <xf numFmtId="0" fontId="2" fillId="2" borderId="50" xfId="0" applyFont="1" applyFill="1" applyBorder="1">
      <alignment vertical="center"/>
    </xf>
    <xf numFmtId="0" fontId="2" fillId="2" borderId="25" xfId="0" applyFont="1" applyFill="1" applyBorder="1">
      <alignment vertical="center"/>
    </xf>
    <xf numFmtId="0" fontId="5" fillId="0" borderId="4" xfId="0" applyFont="1" applyBorder="1">
      <alignment vertical="center"/>
    </xf>
    <xf numFmtId="0" fontId="5" fillId="0" borderId="8" xfId="0" applyFont="1" applyBorder="1">
      <alignment vertical="center"/>
    </xf>
    <xf numFmtId="0" fontId="41" fillId="18" borderId="19" xfId="0" applyFont="1" applyFill="1" applyBorder="1">
      <alignment vertical="center"/>
    </xf>
    <xf numFmtId="0" fontId="5" fillId="10" borderId="1" xfId="0" applyFont="1" applyFill="1" applyBorder="1">
      <alignment vertical="center"/>
    </xf>
    <xf numFmtId="0" fontId="42" fillId="10" borderId="1" xfId="0" applyFont="1" applyFill="1" applyBorder="1">
      <alignment vertical="center"/>
    </xf>
    <xf numFmtId="0" fontId="3" fillId="10" borderId="1" xfId="0" applyFont="1" applyFill="1" applyBorder="1">
      <alignment vertical="center"/>
    </xf>
    <xf numFmtId="0" fontId="11" fillId="3" borderId="1" xfId="0" applyFont="1" applyFill="1" applyBorder="1">
      <alignment vertical="center"/>
    </xf>
    <xf numFmtId="0" fontId="2" fillId="19" borderId="2" xfId="0" applyFont="1" applyFill="1" applyBorder="1">
      <alignment vertical="center"/>
    </xf>
    <xf numFmtId="0" fontId="43" fillId="8" borderId="0" xfId="0" applyFont="1" applyFill="1">
      <alignment vertical="center"/>
    </xf>
    <xf numFmtId="178" fontId="4" fillId="5" borderId="1" xfId="0" applyNumberFormat="1" applyFont="1" applyFill="1" applyBorder="1">
      <alignment vertical="center"/>
    </xf>
    <xf numFmtId="0" fontId="44" fillId="2" borderId="7" xfId="0" applyFont="1" applyFill="1" applyBorder="1">
      <alignment vertical="center"/>
    </xf>
    <xf numFmtId="0" fontId="2" fillId="13" borderId="7" xfId="0" applyFont="1" applyFill="1" applyBorder="1">
      <alignment vertical="center"/>
    </xf>
    <xf numFmtId="0" fontId="2" fillId="13" borderId="0" xfId="0" applyFont="1" applyFill="1" applyBorder="1">
      <alignment vertical="center"/>
    </xf>
    <xf numFmtId="0" fontId="2" fillId="13" borderId="49" xfId="0" applyFont="1" applyFill="1" applyBorder="1">
      <alignment vertical="center"/>
    </xf>
    <xf numFmtId="0" fontId="11" fillId="0" borderId="4" xfId="0" applyFont="1" applyBorder="1">
      <alignment vertical="center"/>
    </xf>
    <xf numFmtId="0" fontId="2" fillId="13" borderId="6" xfId="0" applyFont="1" applyFill="1" applyBorder="1">
      <alignment vertical="center"/>
    </xf>
    <xf numFmtId="0" fontId="45" fillId="4" borderId="1" xfId="0" applyFont="1" applyFill="1" applyBorder="1">
      <alignment vertical="center"/>
    </xf>
    <xf numFmtId="0" fontId="46" fillId="0" borderId="9" xfId="0" applyFont="1" applyBorder="1">
      <alignment vertical="center"/>
    </xf>
    <xf numFmtId="0" fontId="2" fillId="2" borderId="19" xfId="0" applyFont="1" applyFill="1" applyBorder="1">
      <alignment vertical="center"/>
    </xf>
    <xf numFmtId="0" fontId="47" fillId="0" borderId="1" xfId="0" applyFont="1" applyBorder="1">
      <alignment vertical="center"/>
    </xf>
    <xf numFmtId="0" fontId="47" fillId="0" borderId="19" xfId="0" applyFont="1" applyBorder="1">
      <alignment vertical="center"/>
    </xf>
    <xf numFmtId="0" fontId="48" fillId="4" borderId="5" xfId="0" applyFont="1" applyFill="1" applyBorder="1">
      <alignment vertical="center"/>
    </xf>
    <xf numFmtId="0" fontId="3" fillId="12" borderId="0" xfId="0" applyFont="1" applyFill="1">
      <alignment vertical="center"/>
    </xf>
    <xf numFmtId="0" fontId="5" fillId="12" borderId="0" xfId="0" applyFont="1" applyFill="1">
      <alignment vertical="center"/>
    </xf>
    <xf numFmtId="0" fontId="2" fillId="12" borderId="0" xfId="0" applyFont="1" applyFill="1">
      <alignment vertical="center"/>
    </xf>
    <xf numFmtId="177" fontId="49" fillId="2" borderId="1" xfId="0" applyNumberFormat="1" applyFont="1" applyFill="1" applyBorder="1">
      <alignment vertical="center"/>
    </xf>
    <xf numFmtId="179" fontId="2" fillId="3" borderId="7" xfId="0" applyNumberFormat="1" applyFont="1" applyFill="1" applyBorder="1">
      <alignment vertical="center"/>
    </xf>
    <xf numFmtId="180" fontId="2" fillId="3" borderId="7" xfId="0" applyNumberFormat="1" applyFont="1" applyFill="1" applyBorder="1">
      <alignment vertical="center"/>
    </xf>
    <xf numFmtId="178" fontId="2" fillId="3" borderId="6" xfId="0" applyNumberFormat="1" applyFont="1" applyFill="1" applyBorder="1">
      <alignment vertical="center"/>
    </xf>
    <xf numFmtId="0" fontId="50" fillId="0" borderId="0" xfId="0" applyFont="1">
      <alignment vertical="center"/>
    </xf>
    <xf numFmtId="0" fontId="29" fillId="2" borderId="4" xfId="0" applyFont="1" applyFill="1" applyBorder="1">
      <alignment vertical="center"/>
    </xf>
    <xf numFmtId="0" fontId="0" fillId="2" borderId="5" xfId="0" applyFill="1" applyBorder="1">
      <alignment vertical="center"/>
    </xf>
    <xf numFmtId="0" fontId="3" fillId="0" borderId="7" xfId="0" applyFont="1" applyBorder="1">
      <alignment vertical="center"/>
    </xf>
    <xf numFmtId="0" fontId="2" fillId="2" borderId="8" xfId="0" applyFont="1" applyFill="1" applyBorder="1">
      <alignment vertical="center"/>
    </xf>
    <xf numFmtId="0" fontId="0" fillId="2" borderId="9" xfId="0" applyFill="1" applyBorder="1">
      <alignment vertical="center"/>
    </xf>
    <xf numFmtId="0" fontId="22" fillId="3" borderId="7" xfId="0" applyFont="1" applyFill="1" applyBorder="1">
      <alignment vertical="center"/>
    </xf>
    <xf numFmtId="0" fontId="0" fillId="3" borderId="0" xfId="0" applyFill="1">
      <alignment vertical="center"/>
    </xf>
    <xf numFmtId="0" fontId="2" fillId="3" borderId="0" xfId="0" applyFont="1" applyFill="1">
      <alignment vertical="center"/>
    </xf>
    <xf numFmtId="0" fontId="0" fillId="2" borderId="0" xfId="0" applyFill="1">
      <alignment vertical="center"/>
    </xf>
    <xf numFmtId="0" fontId="2" fillId="10" borderId="6" xfId="0" applyFont="1" applyFill="1" applyBorder="1">
      <alignment vertical="center"/>
    </xf>
    <xf numFmtId="0" fontId="22" fillId="10" borderId="7" xfId="0" applyFont="1" applyFill="1" applyBorder="1">
      <alignment vertical="center"/>
    </xf>
    <xf numFmtId="0" fontId="0" fillId="20" borderId="4" xfId="0" applyFill="1" applyBorder="1">
      <alignment vertical="center"/>
    </xf>
    <xf numFmtId="0" fontId="3" fillId="20" borderId="18" xfId="0" applyFont="1" applyFill="1" applyBorder="1">
      <alignment vertical="center"/>
    </xf>
    <xf numFmtId="0" fontId="52" fillId="20" borderId="5" xfId="0" applyFont="1" applyFill="1" applyBorder="1">
      <alignment vertical="center"/>
    </xf>
    <xf numFmtId="0" fontId="0" fillId="20" borderId="6" xfId="0" applyFill="1" applyBorder="1">
      <alignment vertical="center"/>
    </xf>
    <xf numFmtId="0" fontId="3" fillId="20" borderId="1" xfId="0" applyFont="1" applyFill="1" applyBorder="1">
      <alignment vertical="center"/>
    </xf>
    <xf numFmtId="0" fontId="52" fillId="20" borderId="7" xfId="0" applyFont="1" applyFill="1" applyBorder="1">
      <alignment vertical="center"/>
    </xf>
    <xf numFmtId="0" fontId="0" fillId="20" borderId="8" xfId="0" applyFill="1" applyBorder="1">
      <alignment vertical="center"/>
    </xf>
    <xf numFmtId="0" fontId="2" fillId="20" borderId="19" xfId="0" applyFont="1" applyFill="1" applyBorder="1">
      <alignment vertical="center"/>
    </xf>
    <xf numFmtId="0" fontId="3" fillId="19" borderId="2" xfId="0" applyFont="1" applyFill="1" applyBorder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  <colors>
    <mruColors>
      <color rgb="FF00FF99"/>
      <color rgb="FFC4E8B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TW"/>
  <c:chart>
    <c:plotArea>
      <c:layout/>
      <c:barChart>
        <c:barDir val="col"/>
        <c:grouping val="clustered"/>
        <c:ser>
          <c:idx val="0"/>
          <c:order val="0"/>
          <c:tx>
            <c:strRef>
              <c:f>Sheet1!$G$79</c:f>
              <c:strCache>
                <c:ptCount val="1"/>
                <c:pt idx="0">
                  <c:v>固定權數</c:v>
                </c:pt>
              </c:strCache>
            </c:strRef>
          </c:tx>
          <c:cat>
            <c:multiLvlStrRef>
              <c:f>Sheet1!$B$80:$F$90</c:f>
              <c:multiLvlStrCache>
                <c:ptCount val="11"/>
                <c:lvl>
                  <c:pt idx="1">
                    <c:v>0</c:v>
                  </c:pt>
                  <c:pt idx="2">
                    <c:v>0.458452722</c:v>
                  </c:pt>
                  <c:pt idx="3">
                    <c:v>1</c:v>
                  </c:pt>
                  <c:pt idx="4">
                    <c:v>1</c:v>
                  </c:pt>
                  <c:pt idx="5">
                    <c:v>2.94</c:v>
                  </c:pt>
                  <c:pt idx="6">
                    <c:v>0</c:v>
                  </c:pt>
                  <c:pt idx="7">
                    <c:v> 已乘0.5  0.8</c:v>
                  </c:pt>
                  <c:pt idx="8">
                    <c:v>1.02</c:v>
                  </c:pt>
                  <c:pt idx="9">
                    <c:v>0</c:v>
                  </c:pt>
                  <c:pt idx="10">
                    <c:v> 已乘0.5  0.8</c:v>
                  </c:pt>
                </c:lvl>
                <c:lvl>
                  <c:pt idx="1">
                    <c:v>0</c:v>
                  </c:pt>
                  <c:pt idx="2">
                    <c:v>1</c:v>
                  </c:pt>
                  <c:pt idx="3">
                    <c:v>0</c:v>
                  </c:pt>
                  <c:pt idx="4">
                    <c:v>0</c:v>
                  </c:pt>
                  <c:pt idx="5">
                    <c:v>上層RC牆總斷面積M2</c:v>
                  </c:pt>
                  <c:pt idx="6">
                    <c:v>上層磚牆總斷面積M2</c:v>
                  </c:pt>
                  <c:pt idx="7">
                    <c:v>上層RC柱及牆合計M2</c:v>
                  </c:pt>
                  <c:pt idx="8">
                    <c:v>下層RC牆總斷面積M2</c:v>
                  </c:pt>
                  <c:pt idx="9">
                    <c:v>下層磚牆總斷面積M2</c:v>
                  </c:pt>
                  <c:pt idx="10">
                    <c:v>下層RC柱及牆合計M2</c:v>
                  </c:pt>
                </c:lvl>
                <c:lvl>
                  <c:pt idx="0">
                    <c:v>8</c:v>
                  </c:pt>
                  <c:pt idx="7">
                    <c:v>0.91 </c:v>
                  </c:pt>
                  <c:pt idx="8">
                    <c:v>110.09 </c:v>
                  </c:pt>
                  <c:pt idx="9">
                    <c:v>以上選大值</c:v>
                  </c:pt>
                </c:lvl>
                <c:lvl>
                  <c:pt idx="0">
                    <c:v>配分</c:v>
                  </c:pt>
                  <c:pt idx="1">
                    <c:v>佔 ≧1</c:v>
                  </c:pt>
                  <c:pt idx="2">
                    <c:v>佔 &gt;0.8&lt;1 </c:v>
                  </c:pt>
                  <c:pt idx="3">
                    <c:v>佔 ≦0.8</c:v>
                  </c:pt>
                  <c:pt idx="4">
                    <c:v>一樓柱挑高二層(無腰梁)</c:v>
                  </c:pt>
                  <c:pt idx="5">
                    <c:v>注意XY各別勁度有方向性 X→    Y↑</c:v>
                  </c:pt>
                  <c:pt idx="6">
                    <c:v>選牆量差異最大鄰近兩層</c:v>
                  </c:pt>
                  <c:pt idx="7">
                    <c:v>比例    自動算  注意下除以上層</c:v>
                  </c:pt>
                  <c:pt idx="9">
                    <c:v>0</c:v>
                  </c:pt>
                </c:lvl>
              </c:multiLvlStrCache>
            </c:multiLvlStrRef>
          </c:cat>
          <c:val>
            <c:numRef>
              <c:f>Sheet1!$G$80:$G$90</c:f>
              <c:numCache>
                <c:formatCode>General</c:formatCode>
                <c:ptCount val="11"/>
                <c:pt idx="1">
                  <c:v>0</c:v>
                </c:pt>
                <c:pt idx="2" formatCode="0.000_ ">
                  <c:v>0.45845272206303711</c:v>
                </c:pt>
                <c:pt idx="3" formatCode="0.00_ ">
                  <c:v>1</c:v>
                </c:pt>
                <c:pt idx="4">
                  <c:v>1</c:v>
                </c:pt>
                <c:pt idx="5">
                  <c:v>2.3519999999999999</c:v>
                </c:pt>
                <c:pt idx="6">
                  <c:v>0</c:v>
                </c:pt>
                <c:pt idx="7">
                  <c:v>16.751999999999999</c:v>
                </c:pt>
                <c:pt idx="8">
                  <c:v>0.81600000000000006</c:v>
                </c:pt>
                <c:pt idx="9">
                  <c:v>0</c:v>
                </c:pt>
                <c:pt idx="10">
                  <c:v>15.216000000000001</c:v>
                </c:pt>
              </c:numCache>
            </c:numRef>
          </c:val>
        </c:ser>
        <c:ser>
          <c:idx val="1"/>
          <c:order val="1"/>
          <c:tx>
            <c:strRef>
              <c:f>Sheet1!$H$79</c:f>
              <c:strCache>
                <c:ptCount val="1"/>
                <c:pt idx="0">
                  <c:v>採用權數</c:v>
                </c:pt>
              </c:strCache>
            </c:strRef>
          </c:tx>
          <c:cat>
            <c:multiLvlStrRef>
              <c:f>Sheet1!$B$80:$F$90</c:f>
              <c:multiLvlStrCache>
                <c:ptCount val="11"/>
                <c:lvl>
                  <c:pt idx="1">
                    <c:v>0</c:v>
                  </c:pt>
                  <c:pt idx="2">
                    <c:v>0.458452722</c:v>
                  </c:pt>
                  <c:pt idx="3">
                    <c:v>1</c:v>
                  </c:pt>
                  <c:pt idx="4">
                    <c:v>1</c:v>
                  </c:pt>
                  <c:pt idx="5">
                    <c:v>2.94</c:v>
                  </c:pt>
                  <c:pt idx="6">
                    <c:v>0</c:v>
                  </c:pt>
                  <c:pt idx="7">
                    <c:v> 已乘0.5  0.8</c:v>
                  </c:pt>
                  <c:pt idx="8">
                    <c:v>1.02</c:v>
                  </c:pt>
                  <c:pt idx="9">
                    <c:v>0</c:v>
                  </c:pt>
                  <c:pt idx="10">
                    <c:v> 已乘0.5  0.8</c:v>
                  </c:pt>
                </c:lvl>
                <c:lvl>
                  <c:pt idx="1">
                    <c:v>0</c:v>
                  </c:pt>
                  <c:pt idx="2">
                    <c:v>1</c:v>
                  </c:pt>
                  <c:pt idx="3">
                    <c:v>0</c:v>
                  </c:pt>
                  <c:pt idx="4">
                    <c:v>0</c:v>
                  </c:pt>
                  <c:pt idx="5">
                    <c:v>上層RC牆總斷面積M2</c:v>
                  </c:pt>
                  <c:pt idx="6">
                    <c:v>上層磚牆總斷面積M2</c:v>
                  </c:pt>
                  <c:pt idx="7">
                    <c:v>上層RC柱及牆合計M2</c:v>
                  </c:pt>
                  <c:pt idx="8">
                    <c:v>下層RC牆總斷面積M2</c:v>
                  </c:pt>
                  <c:pt idx="9">
                    <c:v>下層磚牆總斷面積M2</c:v>
                  </c:pt>
                  <c:pt idx="10">
                    <c:v>下層RC柱及牆合計M2</c:v>
                  </c:pt>
                </c:lvl>
                <c:lvl>
                  <c:pt idx="0">
                    <c:v>8</c:v>
                  </c:pt>
                  <c:pt idx="7">
                    <c:v>0.91 </c:v>
                  </c:pt>
                  <c:pt idx="8">
                    <c:v>110.09 </c:v>
                  </c:pt>
                  <c:pt idx="9">
                    <c:v>以上選大值</c:v>
                  </c:pt>
                </c:lvl>
                <c:lvl>
                  <c:pt idx="0">
                    <c:v>配分</c:v>
                  </c:pt>
                  <c:pt idx="1">
                    <c:v>佔 ≧1</c:v>
                  </c:pt>
                  <c:pt idx="2">
                    <c:v>佔 &gt;0.8&lt;1 </c:v>
                  </c:pt>
                  <c:pt idx="3">
                    <c:v>佔 ≦0.8</c:v>
                  </c:pt>
                  <c:pt idx="4">
                    <c:v>一樓柱挑高二層(無腰梁)</c:v>
                  </c:pt>
                  <c:pt idx="5">
                    <c:v>注意XY各別勁度有方向性 X→    Y↑</c:v>
                  </c:pt>
                  <c:pt idx="6">
                    <c:v>選牆量差異最大鄰近兩層</c:v>
                  </c:pt>
                  <c:pt idx="7">
                    <c:v>比例    自動算  注意下除以上層</c:v>
                  </c:pt>
                  <c:pt idx="9">
                    <c:v>0</c:v>
                  </c:pt>
                </c:lvl>
              </c:multiLvlStrCache>
            </c:multiLvlStrRef>
          </c:cat>
          <c:val>
            <c:numRef>
              <c:f>Sheet1!$H$80:$H$90</c:f>
              <c:numCache>
                <c:formatCode>General</c:formatCode>
                <c:ptCount val="11"/>
                <c:pt idx="0">
                  <c:v>0.45845272206303711</c:v>
                </c:pt>
                <c:pt idx="2">
                  <c:v>0</c:v>
                </c:pt>
              </c:numCache>
            </c:numRef>
          </c:val>
        </c:ser>
        <c:ser>
          <c:idx val="2"/>
          <c:order val="2"/>
          <c:tx>
            <c:strRef>
              <c:f>Sheet1!$I$79</c:f>
              <c:strCache>
                <c:ptCount val="1"/>
              </c:strCache>
            </c:strRef>
          </c:tx>
          <c:cat>
            <c:multiLvlStrRef>
              <c:f>Sheet1!$B$80:$F$90</c:f>
              <c:multiLvlStrCache>
                <c:ptCount val="11"/>
                <c:lvl>
                  <c:pt idx="1">
                    <c:v>0</c:v>
                  </c:pt>
                  <c:pt idx="2">
                    <c:v>0.458452722</c:v>
                  </c:pt>
                  <c:pt idx="3">
                    <c:v>1</c:v>
                  </c:pt>
                  <c:pt idx="4">
                    <c:v>1</c:v>
                  </c:pt>
                  <c:pt idx="5">
                    <c:v>2.94</c:v>
                  </c:pt>
                  <c:pt idx="6">
                    <c:v>0</c:v>
                  </c:pt>
                  <c:pt idx="7">
                    <c:v> 已乘0.5  0.8</c:v>
                  </c:pt>
                  <c:pt idx="8">
                    <c:v>1.02</c:v>
                  </c:pt>
                  <c:pt idx="9">
                    <c:v>0</c:v>
                  </c:pt>
                  <c:pt idx="10">
                    <c:v> 已乘0.5  0.8</c:v>
                  </c:pt>
                </c:lvl>
                <c:lvl>
                  <c:pt idx="1">
                    <c:v>0</c:v>
                  </c:pt>
                  <c:pt idx="2">
                    <c:v>1</c:v>
                  </c:pt>
                  <c:pt idx="3">
                    <c:v>0</c:v>
                  </c:pt>
                  <c:pt idx="4">
                    <c:v>0</c:v>
                  </c:pt>
                  <c:pt idx="5">
                    <c:v>上層RC牆總斷面積M2</c:v>
                  </c:pt>
                  <c:pt idx="6">
                    <c:v>上層磚牆總斷面積M2</c:v>
                  </c:pt>
                  <c:pt idx="7">
                    <c:v>上層RC柱及牆合計M2</c:v>
                  </c:pt>
                  <c:pt idx="8">
                    <c:v>下層RC牆總斷面積M2</c:v>
                  </c:pt>
                  <c:pt idx="9">
                    <c:v>下層磚牆總斷面積M2</c:v>
                  </c:pt>
                  <c:pt idx="10">
                    <c:v>下層RC柱及牆合計M2</c:v>
                  </c:pt>
                </c:lvl>
                <c:lvl>
                  <c:pt idx="0">
                    <c:v>8</c:v>
                  </c:pt>
                  <c:pt idx="7">
                    <c:v>0.91 </c:v>
                  </c:pt>
                  <c:pt idx="8">
                    <c:v>110.09 </c:v>
                  </c:pt>
                  <c:pt idx="9">
                    <c:v>以上選大值</c:v>
                  </c:pt>
                </c:lvl>
                <c:lvl>
                  <c:pt idx="0">
                    <c:v>配分</c:v>
                  </c:pt>
                  <c:pt idx="1">
                    <c:v>佔 ≧1</c:v>
                  </c:pt>
                  <c:pt idx="2">
                    <c:v>佔 &gt;0.8&lt;1 </c:v>
                  </c:pt>
                  <c:pt idx="3">
                    <c:v>佔 ≦0.8</c:v>
                  </c:pt>
                  <c:pt idx="4">
                    <c:v>一樓柱挑高二層(無腰梁)</c:v>
                  </c:pt>
                  <c:pt idx="5">
                    <c:v>注意XY各別勁度有方向性 X→    Y↑</c:v>
                  </c:pt>
                  <c:pt idx="6">
                    <c:v>選牆量差異最大鄰近兩層</c:v>
                  </c:pt>
                  <c:pt idx="7">
                    <c:v>比例    自動算  注意下除以上層</c:v>
                  </c:pt>
                  <c:pt idx="9">
                    <c:v>0</c:v>
                  </c:pt>
                </c:lvl>
              </c:multiLvlStrCache>
            </c:multiLvlStrRef>
          </c:cat>
          <c:val>
            <c:numRef>
              <c:f>Sheet1!$I$80:$I$90</c:f>
              <c:numCache>
                <c:formatCode>General</c:formatCode>
                <c:ptCount val="11"/>
                <c:pt idx="0">
                  <c:v>0</c:v>
                </c:pt>
                <c:pt idx="6">
                  <c:v>-80</c:v>
                </c:pt>
                <c:pt idx="7">
                  <c:v>-4</c:v>
                </c:pt>
                <c:pt idx="8">
                  <c:v>5</c:v>
                </c:pt>
              </c:numCache>
            </c:numRef>
          </c:val>
        </c:ser>
        <c:ser>
          <c:idx val="3"/>
          <c:order val="3"/>
          <c:tx>
            <c:strRef>
              <c:f>Sheet1!$J$79</c:f>
              <c:strCache>
                <c:ptCount val="1"/>
                <c:pt idx="0">
                  <c:v>危險度評分</c:v>
                </c:pt>
              </c:strCache>
            </c:strRef>
          </c:tx>
          <c:cat>
            <c:multiLvlStrRef>
              <c:f>Sheet1!$B$80:$F$90</c:f>
              <c:multiLvlStrCache>
                <c:ptCount val="11"/>
                <c:lvl>
                  <c:pt idx="1">
                    <c:v>0</c:v>
                  </c:pt>
                  <c:pt idx="2">
                    <c:v>0.458452722</c:v>
                  </c:pt>
                  <c:pt idx="3">
                    <c:v>1</c:v>
                  </c:pt>
                  <c:pt idx="4">
                    <c:v>1</c:v>
                  </c:pt>
                  <c:pt idx="5">
                    <c:v>2.94</c:v>
                  </c:pt>
                  <c:pt idx="6">
                    <c:v>0</c:v>
                  </c:pt>
                  <c:pt idx="7">
                    <c:v> 已乘0.5  0.8</c:v>
                  </c:pt>
                  <c:pt idx="8">
                    <c:v>1.02</c:v>
                  </c:pt>
                  <c:pt idx="9">
                    <c:v>0</c:v>
                  </c:pt>
                  <c:pt idx="10">
                    <c:v> 已乘0.5  0.8</c:v>
                  </c:pt>
                </c:lvl>
                <c:lvl>
                  <c:pt idx="1">
                    <c:v>0</c:v>
                  </c:pt>
                  <c:pt idx="2">
                    <c:v>1</c:v>
                  </c:pt>
                  <c:pt idx="3">
                    <c:v>0</c:v>
                  </c:pt>
                  <c:pt idx="4">
                    <c:v>0</c:v>
                  </c:pt>
                  <c:pt idx="5">
                    <c:v>上層RC牆總斷面積M2</c:v>
                  </c:pt>
                  <c:pt idx="6">
                    <c:v>上層磚牆總斷面積M2</c:v>
                  </c:pt>
                  <c:pt idx="7">
                    <c:v>上層RC柱及牆合計M2</c:v>
                  </c:pt>
                  <c:pt idx="8">
                    <c:v>下層RC牆總斷面積M2</c:v>
                  </c:pt>
                  <c:pt idx="9">
                    <c:v>下層磚牆總斷面積M2</c:v>
                  </c:pt>
                  <c:pt idx="10">
                    <c:v>下層RC柱及牆合計M2</c:v>
                  </c:pt>
                </c:lvl>
                <c:lvl>
                  <c:pt idx="0">
                    <c:v>8</c:v>
                  </c:pt>
                  <c:pt idx="7">
                    <c:v>0.91 </c:v>
                  </c:pt>
                  <c:pt idx="8">
                    <c:v>110.09 </c:v>
                  </c:pt>
                  <c:pt idx="9">
                    <c:v>以上選大值</c:v>
                  </c:pt>
                </c:lvl>
                <c:lvl>
                  <c:pt idx="0">
                    <c:v>配分</c:v>
                  </c:pt>
                  <c:pt idx="1">
                    <c:v>佔 ≧1</c:v>
                  </c:pt>
                  <c:pt idx="2">
                    <c:v>佔 &gt;0.8&lt;1 </c:v>
                  </c:pt>
                  <c:pt idx="3">
                    <c:v>佔 ≦0.8</c:v>
                  </c:pt>
                  <c:pt idx="4">
                    <c:v>一樓柱挑高二層(無腰梁)</c:v>
                  </c:pt>
                  <c:pt idx="5">
                    <c:v>注意XY各別勁度有方向性 X→    Y↑</c:v>
                  </c:pt>
                  <c:pt idx="6">
                    <c:v>選牆量差異最大鄰近兩層</c:v>
                  </c:pt>
                  <c:pt idx="7">
                    <c:v>比例    自動算  注意下除以上層</c:v>
                  </c:pt>
                  <c:pt idx="9">
                    <c:v>0</c:v>
                  </c:pt>
                </c:lvl>
              </c:multiLvlStrCache>
            </c:multiLvlStrRef>
          </c:cat>
          <c:val>
            <c:numRef>
              <c:f>Sheet1!$J$80:$J$90</c:f>
              <c:numCache>
                <c:formatCode>General</c:formatCode>
                <c:ptCount val="11"/>
                <c:pt idx="0" formatCode="0.00_ ">
                  <c:v>3.6676217765042969</c:v>
                </c:pt>
                <c:pt idx="7">
                  <c:v>-80</c:v>
                </c:pt>
                <c:pt idx="8">
                  <c:v>0</c:v>
                </c:pt>
                <c:pt idx="9">
                  <c:v>-0.99</c:v>
                </c:pt>
              </c:numCache>
            </c:numRef>
          </c:val>
        </c:ser>
        <c:axId val="79596160"/>
        <c:axId val="89719168"/>
      </c:barChart>
      <c:catAx>
        <c:axId val="79596160"/>
        <c:scaling>
          <c:orientation val="minMax"/>
        </c:scaling>
        <c:axPos val="b"/>
        <c:tickLblPos val="nextTo"/>
        <c:crossAx val="89719168"/>
        <c:crosses val="autoZero"/>
        <c:auto val="1"/>
        <c:lblAlgn val="ctr"/>
        <c:lblOffset val="100"/>
      </c:catAx>
      <c:valAx>
        <c:axId val="89719168"/>
        <c:scaling>
          <c:orientation val="minMax"/>
        </c:scaling>
        <c:axPos val="l"/>
        <c:majorGridlines/>
        <c:numFmt formatCode="General" sourceLinked="1"/>
        <c:tickLblPos val="nextTo"/>
        <c:crossAx val="79596160"/>
        <c:crosses val="autoZero"/>
        <c:crossBetween val="between"/>
      </c:valAx>
    </c:plotArea>
    <c:legend>
      <c:legendPos val="r"/>
    </c:legend>
    <c:plotVisOnly val="1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7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79699" cy="6043808"/>
    <xdr:graphicFrame macro="">
      <xdr:nvGraphicFramePr>
        <xdr:cNvPr id="2" name="圖表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1790700</xdr:colOff>
      <xdr:row>14</xdr:row>
      <xdr:rowOff>91440</xdr:rowOff>
    </xdr:from>
    <xdr:to>
      <xdr:col>6</xdr:col>
      <xdr:colOff>251460</xdr:colOff>
      <xdr:row>15</xdr:row>
      <xdr:rowOff>167640</xdr:rowOff>
    </xdr:to>
    <xdr:cxnSp macro="">
      <xdr:nvCxnSpPr>
        <xdr:cNvPr id="3" name="直線單箭頭接點 2"/>
        <xdr:cNvCxnSpPr/>
      </xdr:nvCxnSpPr>
      <xdr:spPr>
        <a:xfrm>
          <a:off x="7117080" y="3101340"/>
          <a:ext cx="388620" cy="2819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1927860</xdr:colOff>
      <xdr:row>2</xdr:row>
      <xdr:rowOff>160020</xdr:rowOff>
    </xdr:from>
    <xdr:to>
      <xdr:col>5</xdr:col>
      <xdr:colOff>144780</xdr:colOff>
      <xdr:row>2</xdr:row>
      <xdr:rowOff>161608</xdr:rowOff>
    </xdr:to>
    <xdr:cxnSp macro="">
      <xdr:nvCxnSpPr>
        <xdr:cNvPr id="18" name="直線單箭頭接點 17"/>
        <xdr:cNvCxnSpPr/>
      </xdr:nvCxnSpPr>
      <xdr:spPr>
        <a:xfrm>
          <a:off x="5151120" y="579120"/>
          <a:ext cx="32004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929640</xdr:colOff>
      <xdr:row>40</xdr:row>
      <xdr:rowOff>114300</xdr:rowOff>
    </xdr:from>
    <xdr:to>
      <xdr:col>5</xdr:col>
      <xdr:colOff>68580</xdr:colOff>
      <xdr:row>41</xdr:row>
      <xdr:rowOff>129540</xdr:rowOff>
    </xdr:to>
    <xdr:cxnSp macro="">
      <xdr:nvCxnSpPr>
        <xdr:cNvPr id="8" name="直線單箭頭接點 7"/>
        <xdr:cNvCxnSpPr/>
      </xdr:nvCxnSpPr>
      <xdr:spPr>
        <a:xfrm>
          <a:off x="3535680" y="8793480"/>
          <a:ext cx="2392680" cy="22098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937260</xdr:colOff>
      <xdr:row>39</xdr:row>
      <xdr:rowOff>114300</xdr:rowOff>
    </xdr:from>
    <xdr:to>
      <xdr:col>5</xdr:col>
      <xdr:colOff>91440</xdr:colOff>
      <xdr:row>40</xdr:row>
      <xdr:rowOff>167640</xdr:rowOff>
    </xdr:to>
    <xdr:cxnSp macro="">
      <xdr:nvCxnSpPr>
        <xdr:cNvPr id="10" name="直線單箭頭接點 9"/>
        <xdr:cNvCxnSpPr/>
      </xdr:nvCxnSpPr>
      <xdr:spPr>
        <a:xfrm flipV="1">
          <a:off x="3543300" y="8542020"/>
          <a:ext cx="2407920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929640</xdr:colOff>
      <xdr:row>47</xdr:row>
      <xdr:rowOff>114300</xdr:rowOff>
    </xdr:from>
    <xdr:to>
      <xdr:col>5</xdr:col>
      <xdr:colOff>68580</xdr:colOff>
      <xdr:row>48</xdr:row>
      <xdr:rowOff>129540</xdr:rowOff>
    </xdr:to>
    <xdr:cxnSp macro="">
      <xdr:nvCxnSpPr>
        <xdr:cNvPr id="15" name="直線單箭頭接點 14"/>
        <xdr:cNvCxnSpPr/>
      </xdr:nvCxnSpPr>
      <xdr:spPr>
        <a:xfrm>
          <a:off x="3535680" y="8793480"/>
          <a:ext cx="2392680" cy="22098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937260</xdr:colOff>
      <xdr:row>46</xdr:row>
      <xdr:rowOff>114300</xdr:rowOff>
    </xdr:from>
    <xdr:to>
      <xdr:col>5</xdr:col>
      <xdr:colOff>91440</xdr:colOff>
      <xdr:row>47</xdr:row>
      <xdr:rowOff>167640</xdr:rowOff>
    </xdr:to>
    <xdr:cxnSp macro="">
      <xdr:nvCxnSpPr>
        <xdr:cNvPr id="17" name="直線單箭頭接點 16"/>
        <xdr:cNvCxnSpPr/>
      </xdr:nvCxnSpPr>
      <xdr:spPr>
        <a:xfrm flipV="1">
          <a:off x="3543300" y="8542020"/>
          <a:ext cx="2407920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967740</xdr:colOff>
      <xdr:row>47</xdr:row>
      <xdr:rowOff>91440</xdr:rowOff>
    </xdr:from>
    <xdr:to>
      <xdr:col>5</xdr:col>
      <xdr:colOff>76200</xdr:colOff>
      <xdr:row>47</xdr:row>
      <xdr:rowOff>121920</xdr:rowOff>
    </xdr:to>
    <xdr:cxnSp macro="">
      <xdr:nvCxnSpPr>
        <xdr:cNvPr id="19" name="直線單箭頭接點 18"/>
        <xdr:cNvCxnSpPr/>
      </xdr:nvCxnSpPr>
      <xdr:spPr>
        <a:xfrm flipV="1">
          <a:off x="3573780" y="8770620"/>
          <a:ext cx="2362200" cy="3048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2827020</xdr:colOff>
      <xdr:row>64</xdr:row>
      <xdr:rowOff>106680</xdr:rowOff>
    </xdr:from>
    <xdr:to>
      <xdr:col>4</xdr:col>
      <xdr:colOff>7620</xdr:colOff>
      <xdr:row>64</xdr:row>
      <xdr:rowOff>114300</xdr:rowOff>
    </xdr:to>
    <xdr:cxnSp macro="">
      <xdr:nvCxnSpPr>
        <xdr:cNvPr id="26" name="直線單箭頭接點 25"/>
        <xdr:cNvCxnSpPr/>
      </xdr:nvCxnSpPr>
      <xdr:spPr>
        <a:xfrm>
          <a:off x="4046220" y="13906500"/>
          <a:ext cx="2971800" cy="76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2827020</xdr:colOff>
      <xdr:row>71</xdr:row>
      <xdr:rowOff>106680</xdr:rowOff>
    </xdr:from>
    <xdr:to>
      <xdr:col>4</xdr:col>
      <xdr:colOff>7620</xdr:colOff>
      <xdr:row>71</xdr:row>
      <xdr:rowOff>114300</xdr:rowOff>
    </xdr:to>
    <xdr:cxnSp macro="">
      <xdr:nvCxnSpPr>
        <xdr:cNvPr id="20" name="直線單箭頭接點 19"/>
        <xdr:cNvCxnSpPr/>
      </xdr:nvCxnSpPr>
      <xdr:spPr>
        <a:xfrm>
          <a:off x="3710940" y="13814213"/>
          <a:ext cx="970280" cy="76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829733</xdr:colOff>
      <xdr:row>73</xdr:row>
      <xdr:rowOff>135466</xdr:rowOff>
    </xdr:from>
    <xdr:to>
      <xdr:col>4</xdr:col>
      <xdr:colOff>753533</xdr:colOff>
      <xdr:row>76</xdr:row>
      <xdr:rowOff>135467</xdr:rowOff>
    </xdr:to>
    <xdr:cxnSp macro="">
      <xdr:nvCxnSpPr>
        <xdr:cNvPr id="22" name="直線單箭頭接點 21"/>
        <xdr:cNvCxnSpPr/>
      </xdr:nvCxnSpPr>
      <xdr:spPr>
        <a:xfrm flipV="1">
          <a:off x="4538133" y="15739533"/>
          <a:ext cx="889000" cy="61806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2827020</xdr:colOff>
      <xdr:row>80</xdr:row>
      <xdr:rowOff>106680</xdr:rowOff>
    </xdr:from>
    <xdr:to>
      <xdr:col>4</xdr:col>
      <xdr:colOff>7620</xdr:colOff>
      <xdr:row>80</xdr:row>
      <xdr:rowOff>114300</xdr:rowOff>
    </xdr:to>
    <xdr:cxnSp macro="">
      <xdr:nvCxnSpPr>
        <xdr:cNvPr id="23" name="直線單箭頭接點 22"/>
        <xdr:cNvCxnSpPr/>
      </xdr:nvCxnSpPr>
      <xdr:spPr>
        <a:xfrm>
          <a:off x="3710940" y="15304347"/>
          <a:ext cx="970280" cy="76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2624668</xdr:colOff>
      <xdr:row>97</xdr:row>
      <xdr:rowOff>101600</xdr:rowOff>
    </xdr:from>
    <xdr:to>
      <xdr:col>3</xdr:col>
      <xdr:colOff>635001</xdr:colOff>
      <xdr:row>101</xdr:row>
      <xdr:rowOff>118533</xdr:rowOff>
    </xdr:to>
    <xdr:cxnSp macro="">
      <xdr:nvCxnSpPr>
        <xdr:cNvPr id="31" name="直線單箭頭接點 30"/>
        <xdr:cNvCxnSpPr/>
      </xdr:nvCxnSpPr>
      <xdr:spPr>
        <a:xfrm rot="16200000" flipV="1">
          <a:off x="3636434" y="20231101"/>
          <a:ext cx="829733" cy="71966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770467</xdr:colOff>
      <xdr:row>106</xdr:row>
      <xdr:rowOff>118534</xdr:rowOff>
    </xdr:from>
    <xdr:to>
      <xdr:col>4</xdr:col>
      <xdr:colOff>1625600</xdr:colOff>
      <xdr:row>110</xdr:row>
      <xdr:rowOff>143933</xdr:rowOff>
    </xdr:to>
    <xdr:cxnSp macro="">
      <xdr:nvCxnSpPr>
        <xdr:cNvPr id="34" name="直線單箭頭接點 33"/>
        <xdr:cNvCxnSpPr/>
      </xdr:nvCxnSpPr>
      <xdr:spPr>
        <a:xfrm flipV="1">
          <a:off x="5113867" y="22157267"/>
          <a:ext cx="1820333" cy="84666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2368975</xdr:colOff>
      <xdr:row>136</xdr:row>
      <xdr:rowOff>135468</xdr:rowOff>
    </xdr:from>
    <xdr:to>
      <xdr:col>4</xdr:col>
      <xdr:colOff>880533</xdr:colOff>
      <xdr:row>140</xdr:row>
      <xdr:rowOff>177800</xdr:rowOff>
    </xdr:to>
    <xdr:cxnSp macro="">
      <xdr:nvCxnSpPr>
        <xdr:cNvPr id="36" name="直線單箭頭接點 35"/>
        <xdr:cNvCxnSpPr/>
      </xdr:nvCxnSpPr>
      <xdr:spPr>
        <a:xfrm rot="10800000">
          <a:off x="3698242" y="28668135"/>
          <a:ext cx="1864358" cy="86359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736599</xdr:colOff>
      <xdr:row>160</xdr:row>
      <xdr:rowOff>186266</xdr:rowOff>
    </xdr:from>
    <xdr:to>
      <xdr:col>5</xdr:col>
      <xdr:colOff>1396999</xdr:colOff>
      <xdr:row>161</xdr:row>
      <xdr:rowOff>262467</xdr:rowOff>
    </xdr:to>
    <xdr:sp macro="" textlink="">
      <xdr:nvSpPr>
        <xdr:cNvPr id="41" name="向右箭號 40"/>
        <xdr:cNvSpPr/>
      </xdr:nvSpPr>
      <xdr:spPr>
        <a:xfrm>
          <a:off x="8263466" y="33875133"/>
          <a:ext cx="660400" cy="414867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zh-TW" altLang="en-US" sz="1100"/>
        </a:p>
      </xdr:txBody>
    </xdr:sp>
    <xdr:clientData/>
  </xdr:twoCellAnchor>
  <xdr:twoCellAnchor>
    <xdr:from>
      <xdr:col>17</xdr:col>
      <xdr:colOff>186267</xdr:colOff>
      <xdr:row>1</xdr:row>
      <xdr:rowOff>101601</xdr:rowOff>
    </xdr:from>
    <xdr:to>
      <xdr:col>24</xdr:col>
      <xdr:colOff>536787</xdr:colOff>
      <xdr:row>16</xdr:row>
      <xdr:rowOff>22861</xdr:rowOff>
    </xdr:to>
    <xdr:pic>
      <xdr:nvPicPr>
        <xdr:cNvPr id="1025" name="圖片 1" descr="2016-03-10_15092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0" y="304801"/>
          <a:ext cx="4617720" cy="3163993"/>
        </a:xfrm>
        <a:prstGeom prst="rect">
          <a:avLst/>
        </a:prstGeom>
        <a:noFill/>
      </xdr:spPr>
    </xdr:pic>
    <xdr:clientData/>
  </xdr:twoCellAnchor>
  <xdr:twoCellAnchor editAs="oneCell">
    <xdr:from>
      <xdr:col>25</xdr:col>
      <xdr:colOff>186267</xdr:colOff>
      <xdr:row>62</xdr:row>
      <xdr:rowOff>154093</xdr:rowOff>
    </xdr:from>
    <xdr:to>
      <xdr:col>32</xdr:col>
      <xdr:colOff>474134</xdr:colOff>
      <xdr:row>73</xdr:row>
      <xdr:rowOff>45000</xdr:rowOff>
    </xdr:to>
    <xdr:pic>
      <xdr:nvPicPr>
        <xdr:cNvPr id="33" name="圖片 32" descr="C:\Users\ASUS\Desktop\2016-03-10_153314.jpg"/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4946187" y="13585613"/>
          <a:ext cx="4555067" cy="22480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127002</xdr:colOff>
      <xdr:row>5</xdr:row>
      <xdr:rowOff>16932</xdr:rowOff>
    </xdr:from>
    <xdr:to>
      <xdr:col>14</xdr:col>
      <xdr:colOff>71123</xdr:colOff>
      <xdr:row>14</xdr:row>
      <xdr:rowOff>135517</xdr:rowOff>
    </xdr:to>
    <xdr:pic>
      <xdr:nvPicPr>
        <xdr:cNvPr id="37" name="圖片 36" descr="C:\Users\ASUS\Desktop\2016-03-11_100942.jpg"/>
        <xdr:cNvPicPr/>
      </xdr:nvPicPr>
      <xdr:blipFill>
        <a:blip xmlns:r="http://schemas.openxmlformats.org/officeDocument/2006/relationships" r:embed="rId3">
          <a:lum bright="6000" contrast="12000"/>
        </a:blip>
        <a:srcRect/>
        <a:stretch>
          <a:fillRect/>
        </a:stretch>
      </xdr:blipFill>
      <xdr:spPr bwMode="auto">
        <a:xfrm>
          <a:off x="12208935" y="1092199"/>
          <a:ext cx="3657601" cy="2032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2446866</xdr:colOff>
      <xdr:row>72</xdr:row>
      <xdr:rowOff>160867</xdr:rowOff>
    </xdr:from>
    <xdr:to>
      <xdr:col>3</xdr:col>
      <xdr:colOff>381000</xdr:colOff>
      <xdr:row>77</xdr:row>
      <xdr:rowOff>1</xdr:rowOff>
    </xdr:to>
    <xdr:cxnSp macro="">
      <xdr:nvCxnSpPr>
        <xdr:cNvPr id="42" name="直線單箭頭接點 41"/>
        <xdr:cNvCxnSpPr/>
      </xdr:nvCxnSpPr>
      <xdr:spPr>
        <a:xfrm rot="10800000">
          <a:off x="3776133" y="15587134"/>
          <a:ext cx="905934" cy="87206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24</xdr:col>
      <xdr:colOff>215052</xdr:colOff>
      <xdr:row>11</xdr:row>
      <xdr:rowOff>32174</xdr:rowOff>
    </xdr:from>
    <xdr:to>
      <xdr:col>30</xdr:col>
      <xdr:colOff>231986</xdr:colOff>
      <xdr:row>24</xdr:row>
      <xdr:rowOff>30271</xdr:rowOff>
    </xdr:to>
    <xdr:pic>
      <xdr:nvPicPr>
        <xdr:cNvPr id="39" name="圖片 38" descr="C:\Users\ASUS\Desktop\2016-03-12_153545.jpg"/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23440812" y="2399454"/>
          <a:ext cx="3674534" cy="28428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524934</xdr:colOff>
      <xdr:row>33</xdr:row>
      <xdr:rowOff>27093</xdr:rowOff>
    </xdr:from>
    <xdr:to>
      <xdr:col>30</xdr:col>
      <xdr:colOff>203200</xdr:colOff>
      <xdr:row>53</xdr:row>
      <xdr:rowOff>71503</xdr:rowOff>
    </xdr:to>
    <xdr:pic>
      <xdr:nvPicPr>
        <xdr:cNvPr id="44" name="圖片 43" descr="C:\Users\ASUS\Desktop\2016-03-12_153611.jpg"/>
        <xdr:cNvPicPr/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23141094" y="7169573"/>
          <a:ext cx="3945466" cy="43827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355602</xdr:colOff>
      <xdr:row>16</xdr:row>
      <xdr:rowOff>8467</xdr:rowOff>
    </xdr:from>
    <xdr:to>
      <xdr:col>30</xdr:col>
      <xdr:colOff>24978</xdr:colOff>
      <xdr:row>30</xdr:row>
      <xdr:rowOff>15241</xdr:rowOff>
    </xdr:to>
    <xdr:pic>
      <xdr:nvPicPr>
        <xdr:cNvPr id="46" name="圖片 45" descr="C:\Users\ASUS\Desktop\2016-03-12_153622.jpg"/>
        <xdr:cNvPicPr/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20590935" y="3454400"/>
          <a:ext cx="3936576" cy="30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601134</xdr:colOff>
      <xdr:row>30</xdr:row>
      <xdr:rowOff>42333</xdr:rowOff>
    </xdr:from>
    <xdr:to>
      <xdr:col>28</xdr:col>
      <xdr:colOff>600710</xdr:colOff>
      <xdr:row>44</xdr:row>
      <xdr:rowOff>75800</xdr:rowOff>
    </xdr:to>
    <xdr:pic>
      <xdr:nvPicPr>
        <xdr:cNvPr id="47" name="圖片 46" descr="C:\Users\ASUS\Desktop\2016-03-12_153558.jpg"/>
        <xdr:cNvPicPr/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20836467" y="6502400"/>
          <a:ext cx="3047576" cy="30713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35</xdr:col>
      <xdr:colOff>0</xdr:colOff>
      <xdr:row>25</xdr:row>
      <xdr:rowOff>0</xdr:rowOff>
    </xdr:from>
    <xdr:to>
      <xdr:col>43</xdr:col>
      <xdr:colOff>397510</xdr:colOff>
      <xdr:row>43</xdr:row>
      <xdr:rowOff>118897</xdr:rowOff>
    </xdr:to>
    <xdr:pic>
      <xdr:nvPicPr>
        <xdr:cNvPr id="48" name="圖片 47" descr="C:\Users\ASUS\Desktop\2016-03-12_153636.jpg"/>
        <xdr:cNvPicPr/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27550533" y="5384800"/>
          <a:ext cx="5274310" cy="4030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35</xdr:col>
      <xdr:colOff>0</xdr:colOff>
      <xdr:row>45</xdr:row>
      <xdr:rowOff>0</xdr:rowOff>
    </xdr:from>
    <xdr:to>
      <xdr:col>43</xdr:col>
      <xdr:colOff>397510</xdr:colOff>
      <xdr:row>65</xdr:row>
      <xdr:rowOff>185308</xdr:rowOff>
    </xdr:to>
    <xdr:pic>
      <xdr:nvPicPr>
        <xdr:cNvPr id="49" name="圖片 48" descr="C:\Users\ASUS\Desktop\2016-03-12_153648.jpg"/>
        <xdr:cNvPicPr/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7550533" y="9668933"/>
          <a:ext cx="5274310" cy="45134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660400</xdr:colOff>
      <xdr:row>23</xdr:row>
      <xdr:rowOff>118534</xdr:rowOff>
    </xdr:from>
    <xdr:to>
      <xdr:col>5</xdr:col>
      <xdr:colOff>762000</xdr:colOff>
      <xdr:row>24</xdr:row>
      <xdr:rowOff>118533</xdr:rowOff>
    </xdr:to>
    <xdr:cxnSp macro="">
      <xdr:nvCxnSpPr>
        <xdr:cNvPr id="51" name="直線單箭頭接點 50"/>
        <xdr:cNvCxnSpPr/>
      </xdr:nvCxnSpPr>
      <xdr:spPr>
        <a:xfrm flipV="1">
          <a:off x="4470400" y="5088467"/>
          <a:ext cx="2446867" cy="23706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1016000</xdr:colOff>
      <xdr:row>56</xdr:row>
      <xdr:rowOff>101600</xdr:rowOff>
    </xdr:from>
    <xdr:to>
      <xdr:col>5</xdr:col>
      <xdr:colOff>345440</xdr:colOff>
      <xdr:row>59</xdr:row>
      <xdr:rowOff>60960</xdr:rowOff>
    </xdr:to>
    <xdr:cxnSp macro="">
      <xdr:nvCxnSpPr>
        <xdr:cNvPr id="52" name="直線單箭頭接點 51"/>
        <xdr:cNvCxnSpPr/>
      </xdr:nvCxnSpPr>
      <xdr:spPr>
        <a:xfrm flipV="1">
          <a:off x="4826000" y="12222480"/>
          <a:ext cx="2011680" cy="5791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19</xdr:col>
      <xdr:colOff>599440</xdr:colOff>
      <xdr:row>121</xdr:row>
      <xdr:rowOff>152400</xdr:rowOff>
    </xdr:from>
    <xdr:to>
      <xdr:col>24</xdr:col>
      <xdr:colOff>405491</xdr:colOff>
      <xdr:row>133</xdr:row>
      <xdr:rowOff>30480</xdr:rowOff>
    </xdr:to>
    <xdr:pic>
      <xdr:nvPicPr>
        <xdr:cNvPr id="50" name="圖片 49" descr="C:\Users\ASUS\Desktop\2016-03-14_111615.jpg"/>
        <xdr:cNvPicPr/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1386800" y="26781760"/>
          <a:ext cx="3199491" cy="2438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40</xdr:col>
      <xdr:colOff>579120</xdr:colOff>
      <xdr:row>101</xdr:row>
      <xdr:rowOff>193040</xdr:rowOff>
    </xdr:from>
    <xdr:to>
      <xdr:col>50</xdr:col>
      <xdr:colOff>121920</xdr:colOff>
      <xdr:row>116</xdr:row>
      <xdr:rowOff>121920</xdr:rowOff>
    </xdr:to>
    <xdr:pic>
      <xdr:nvPicPr>
        <xdr:cNvPr id="53" name="圖片 52" descr="C:\Users\ASUS\Desktop\2016-03-14_111631.jpg"/>
        <xdr:cNvPicPr/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4686240" y="22412960"/>
          <a:ext cx="5638800" cy="32207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25</xdr:col>
      <xdr:colOff>294640</xdr:colOff>
      <xdr:row>131</xdr:row>
      <xdr:rowOff>152400</xdr:rowOff>
    </xdr:from>
    <xdr:to>
      <xdr:col>30</xdr:col>
      <xdr:colOff>426720</xdr:colOff>
      <xdr:row>142</xdr:row>
      <xdr:rowOff>136801</xdr:rowOff>
    </xdr:to>
    <xdr:pic>
      <xdr:nvPicPr>
        <xdr:cNvPr id="54" name="圖片 53" descr="C:\Users\ASUS\Desktop\2016-03-14_170251.jpg"/>
        <xdr:cNvPicPr/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24739600" y="28915360"/>
          <a:ext cx="3180080" cy="23212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25</xdr:col>
      <xdr:colOff>0</xdr:colOff>
      <xdr:row>121</xdr:row>
      <xdr:rowOff>10160</xdr:rowOff>
    </xdr:from>
    <xdr:to>
      <xdr:col>31</xdr:col>
      <xdr:colOff>11430</xdr:colOff>
      <xdr:row>132</xdr:row>
      <xdr:rowOff>49824</xdr:rowOff>
    </xdr:to>
    <xdr:pic>
      <xdr:nvPicPr>
        <xdr:cNvPr id="55" name="圖片 54" descr="C:\Users\ASUS\Desktop\2016-03-14_170241.jpg"/>
        <xdr:cNvPicPr/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24444960" y="26639520"/>
          <a:ext cx="3669030" cy="23866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944880</xdr:colOff>
      <xdr:row>53</xdr:row>
      <xdr:rowOff>0</xdr:rowOff>
    </xdr:from>
    <xdr:to>
      <xdr:col>2</xdr:col>
      <xdr:colOff>1117600</xdr:colOff>
      <xdr:row>53</xdr:row>
      <xdr:rowOff>132080</xdr:rowOff>
    </xdr:to>
    <xdr:sp macro="" textlink="">
      <xdr:nvSpPr>
        <xdr:cNvPr id="57" name="五角星形 56"/>
        <xdr:cNvSpPr/>
      </xdr:nvSpPr>
      <xdr:spPr>
        <a:xfrm>
          <a:off x="2275840" y="11460480"/>
          <a:ext cx="172720" cy="132080"/>
        </a:xfrm>
        <a:prstGeom prst="star5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zh-TW" altLang="en-US" sz="1100"/>
        </a:p>
      </xdr:txBody>
    </xdr:sp>
    <xdr:clientData/>
  </xdr:twoCellAnchor>
  <xdr:twoCellAnchor>
    <xdr:from>
      <xdr:col>3</xdr:col>
      <xdr:colOff>162560</xdr:colOff>
      <xdr:row>78</xdr:row>
      <xdr:rowOff>20320</xdr:rowOff>
    </xdr:from>
    <xdr:to>
      <xdr:col>3</xdr:col>
      <xdr:colOff>335280</xdr:colOff>
      <xdr:row>78</xdr:row>
      <xdr:rowOff>152400</xdr:rowOff>
    </xdr:to>
    <xdr:sp macro="" textlink="">
      <xdr:nvSpPr>
        <xdr:cNvPr id="58" name="五角星形 57"/>
        <xdr:cNvSpPr/>
      </xdr:nvSpPr>
      <xdr:spPr>
        <a:xfrm>
          <a:off x="4958080" y="16865600"/>
          <a:ext cx="172720" cy="132080"/>
        </a:xfrm>
        <a:prstGeom prst="star5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zh-TW" altLang="en-US" sz="1100"/>
        </a:p>
      </xdr:txBody>
    </xdr:sp>
    <xdr:clientData/>
  </xdr:twoCellAnchor>
  <xdr:twoCellAnchor>
    <xdr:from>
      <xdr:col>3</xdr:col>
      <xdr:colOff>1178560</xdr:colOff>
      <xdr:row>119</xdr:row>
      <xdr:rowOff>30480</xdr:rowOff>
    </xdr:from>
    <xdr:to>
      <xdr:col>3</xdr:col>
      <xdr:colOff>1351280</xdr:colOff>
      <xdr:row>119</xdr:row>
      <xdr:rowOff>162560</xdr:rowOff>
    </xdr:to>
    <xdr:sp macro="" textlink="">
      <xdr:nvSpPr>
        <xdr:cNvPr id="61" name="五角星形 60"/>
        <xdr:cNvSpPr/>
      </xdr:nvSpPr>
      <xdr:spPr>
        <a:xfrm>
          <a:off x="5100320" y="25694640"/>
          <a:ext cx="172720" cy="132080"/>
        </a:xfrm>
        <a:prstGeom prst="star5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zh-TW" altLang="en-US" sz="1100"/>
        </a:p>
      </xdr:txBody>
    </xdr:sp>
    <xdr:clientData/>
  </xdr:twoCellAnchor>
  <xdr:twoCellAnchor>
    <xdr:from>
      <xdr:col>2</xdr:col>
      <xdr:colOff>1452880</xdr:colOff>
      <xdr:row>143</xdr:row>
      <xdr:rowOff>0</xdr:rowOff>
    </xdr:from>
    <xdr:to>
      <xdr:col>2</xdr:col>
      <xdr:colOff>1625600</xdr:colOff>
      <xdr:row>143</xdr:row>
      <xdr:rowOff>152400</xdr:rowOff>
    </xdr:to>
    <xdr:sp macro="" textlink="">
      <xdr:nvSpPr>
        <xdr:cNvPr id="62" name="五角星形 61"/>
        <xdr:cNvSpPr/>
      </xdr:nvSpPr>
      <xdr:spPr>
        <a:xfrm>
          <a:off x="2783840" y="30805120"/>
          <a:ext cx="172720" cy="152400"/>
        </a:xfrm>
        <a:prstGeom prst="star5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zh-TW" altLang="en-US" sz="1100"/>
        </a:p>
      </xdr:txBody>
    </xdr:sp>
    <xdr:clientData/>
  </xdr:twoCellAnchor>
  <xdr:twoCellAnchor>
    <xdr:from>
      <xdr:col>2</xdr:col>
      <xdr:colOff>1239520</xdr:colOff>
      <xdr:row>53</xdr:row>
      <xdr:rowOff>10160</xdr:rowOff>
    </xdr:from>
    <xdr:to>
      <xdr:col>2</xdr:col>
      <xdr:colOff>1412240</xdr:colOff>
      <xdr:row>53</xdr:row>
      <xdr:rowOff>142240</xdr:rowOff>
    </xdr:to>
    <xdr:sp macro="" textlink="">
      <xdr:nvSpPr>
        <xdr:cNvPr id="63" name="五角星形 62"/>
        <xdr:cNvSpPr/>
      </xdr:nvSpPr>
      <xdr:spPr>
        <a:xfrm>
          <a:off x="2570480" y="11470640"/>
          <a:ext cx="172720" cy="132080"/>
        </a:xfrm>
        <a:prstGeom prst="star5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zh-TW" altLang="en-US" sz="1100"/>
        </a:p>
      </xdr:txBody>
    </xdr:sp>
    <xdr:clientData/>
  </xdr:twoCellAnchor>
  <xdr:twoCellAnchor>
    <xdr:from>
      <xdr:col>3</xdr:col>
      <xdr:colOff>223520</xdr:colOff>
      <xdr:row>161</xdr:row>
      <xdr:rowOff>121920</xdr:rowOff>
    </xdr:from>
    <xdr:to>
      <xdr:col>3</xdr:col>
      <xdr:colOff>396240</xdr:colOff>
      <xdr:row>161</xdr:row>
      <xdr:rowOff>274320</xdr:rowOff>
    </xdr:to>
    <xdr:sp macro="" textlink="">
      <xdr:nvSpPr>
        <xdr:cNvPr id="56" name="五角星形 55"/>
        <xdr:cNvSpPr/>
      </xdr:nvSpPr>
      <xdr:spPr>
        <a:xfrm>
          <a:off x="4348480" y="35763200"/>
          <a:ext cx="172720" cy="152400"/>
        </a:xfrm>
        <a:prstGeom prst="star5">
          <a:avLst/>
        </a:prstGeom>
        <a:solidFill>
          <a:srgbClr val="C00000"/>
        </a:solidFill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zh-TW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2286000</xdr:colOff>
      <xdr:row>81</xdr:row>
      <xdr:rowOff>50800</xdr:rowOff>
    </xdr:from>
    <xdr:to>
      <xdr:col>3</xdr:col>
      <xdr:colOff>873760</xdr:colOff>
      <xdr:row>86</xdr:row>
      <xdr:rowOff>213360</xdr:rowOff>
    </xdr:to>
    <xdr:cxnSp macro="">
      <xdr:nvCxnSpPr>
        <xdr:cNvPr id="64" name="直線單箭頭接點 63"/>
        <xdr:cNvCxnSpPr/>
      </xdr:nvCxnSpPr>
      <xdr:spPr>
        <a:xfrm rot="16200000" flipV="1">
          <a:off x="3571240" y="17581880"/>
          <a:ext cx="1473200" cy="13817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1950720</xdr:colOff>
      <xdr:row>34</xdr:row>
      <xdr:rowOff>101600</xdr:rowOff>
    </xdr:from>
    <xdr:to>
      <xdr:col>10</xdr:col>
      <xdr:colOff>822960</xdr:colOff>
      <xdr:row>37</xdr:row>
      <xdr:rowOff>0</xdr:rowOff>
    </xdr:to>
    <xdr:cxnSp macro="">
      <xdr:nvCxnSpPr>
        <xdr:cNvPr id="60" name="直線單箭頭接點 59"/>
        <xdr:cNvCxnSpPr/>
      </xdr:nvCxnSpPr>
      <xdr:spPr>
        <a:xfrm rot="10800000">
          <a:off x="9834880" y="7508240"/>
          <a:ext cx="4378960" cy="5283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411480</xdr:colOff>
      <xdr:row>36</xdr:row>
      <xdr:rowOff>68580</xdr:rowOff>
    </xdr:from>
    <xdr:to>
      <xdr:col>20</xdr:col>
      <xdr:colOff>152400</xdr:colOff>
      <xdr:row>37</xdr:row>
      <xdr:rowOff>114300</xdr:rowOff>
    </xdr:to>
    <xdr:sp macro="" textlink="">
      <xdr:nvSpPr>
        <xdr:cNvPr id="67" name="Line 1"/>
        <xdr:cNvSpPr>
          <a:spLocks noChangeShapeType="1"/>
        </xdr:cNvSpPr>
      </xdr:nvSpPr>
      <xdr:spPr bwMode="auto">
        <a:xfrm>
          <a:off x="3649980" y="1325880"/>
          <a:ext cx="350520" cy="2514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335280</xdr:colOff>
      <xdr:row>37</xdr:row>
      <xdr:rowOff>121920</xdr:rowOff>
    </xdr:from>
    <xdr:to>
      <xdr:col>20</xdr:col>
      <xdr:colOff>137160</xdr:colOff>
      <xdr:row>38</xdr:row>
      <xdr:rowOff>175260</xdr:rowOff>
    </xdr:to>
    <xdr:sp macro="" textlink="">
      <xdr:nvSpPr>
        <xdr:cNvPr id="68" name="Line 2"/>
        <xdr:cNvSpPr>
          <a:spLocks noChangeShapeType="1"/>
        </xdr:cNvSpPr>
      </xdr:nvSpPr>
      <xdr:spPr bwMode="auto">
        <a:xfrm flipV="1">
          <a:off x="3573780" y="1584960"/>
          <a:ext cx="411480" cy="25908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44</xdr:col>
      <xdr:colOff>274320</xdr:colOff>
      <xdr:row>79</xdr:row>
      <xdr:rowOff>30480</xdr:rowOff>
    </xdr:from>
    <xdr:to>
      <xdr:col>49</xdr:col>
      <xdr:colOff>71120</xdr:colOff>
      <xdr:row>93</xdr:row>
      <xdr:rowOff>203200</xdr:rowOff>
    </xdr:to>
    <xdr:cxnSp macro="">
      <xdr:nvCxnSpPr>
        <xdr:cNvPr id="59" name="直線接點 58"/>
        <xdr:cNvCxnSpPr/>
      </xdr:nvCxnSpPr>
      <xdr:spPr>
        <a:xfrm rot="5400000">
          <a:off x="36418520" y="17490440"/>
          <a:ext cx="3647440" cy="28448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50800</xdr:colOff>
      <xdr:row>78</xdr:row>
      <xdr:rowOff>193040</xdr:rowOff>
    </xdr:from>
    <xdr:to>
      <xdr:col>49</xdr:col>
      <xdr:colOff>60960</xdr:colOff>
      <xdr:row>93</xdr:row>
      <xdr:rowOff>203200</xdr:rowOff>
    </xdr:to>
    <xdr:cxnSp macro="">
      <xdr:nvCxnSpPr>
        <xdr:cNvPr id="66" name="直線單箭頭接點 65"/>
        <xdr:cNvCxnSpPr/>
      </xdr:nvCxnSpPr>
      <xdr:spPr>
        <a:xfrm rot="16200000" flipH="1">
          <a:off x="36276280" y="17358360"/>
          <a:ext cx="3698240" cy="30581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296098</xdr:colOff>
      <xdr:row>141</xdr:row>
      <xdr:rowOff>10160</xdr:rowOff>
    </xdr:from>
    <xdr:to>
      <xdr:col>16</xdr:col>
      <xdr:colOff>861103</xdr:colOff>
      <xdr:row>162</xdr:row>
      <xdr:rowOff>201780</xdr:rowOff>
    </xdr:to>
    <xdr:pic>
      <xdr:nvPicPr>
        <xdr:cNvPr id="65" name="Picture 2" descr="C:\Users\ASUS\Desktop\2016-03-14_160705.jpg"/>
        <xdr:cNvPicPr>
          <a:picLocks noChangeAspect="1" noChangeArrowheads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14652178" y="30876240"/>
          <a:ext cx="4730605" cy="5251300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833120</xdr:colOff>
      <xdr:row>145</xdr:row>
      <xdr:rowOff>101600</xdr:rowOff>
    </xdr:from>
    <xdr:to>
      <xdr:col>21</xdr:col>
      <xdr:colOff>386080</xdr:colOff>
      <xdr:row>161</xdr:row>
      <xdr:rowOff>233680</xdr:rowOff>
    </xdr:to>
    <xdr:pic>
      <xdr:nvPicPr>
        <xdr:cNvPr id="69" name="圖片 68" descr="C:\Users\ASUS\Desktop\2016-04-01_101754.jpg"/>
        <xdr:cNvPicPr/>
      </xdr:nvPicPr>
      <xdr:blipFill>
        <a:blip xmlns:r="http://schemas.openxmlformats.org/officeDocument/2006/relationships" r:embed="rId15"/>
        <a:srcRect/>
        <a:stretch>
          <a:fillRect/>
        </a:stretch>
      </xdr:blipFill>
      <xdr:spPr bwMode="auto">
        <a:xfrm>
          <a:off x="19354800" y="31841440"/>
          <a:ext cx="3860800" cy="396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18</xdr:col>
      <xdr:colOff>548640</xdr:colOff>
      <xdr:row>152</xdr:row>
      <xdr:rowOff>162560</xdr:rowOff>
    </xdr:from>
    <xdr:to>
      <xdr:col>18</xdr:col>
      <xdr:colOff>751840</xdr:colOff>
      <xdr:row>153</xdr:row>
      <xdr:rowOff>182880</xdr:rowOff>
    </xdr:to>
    <xdr:sp macro="" textlink="">
      <xdr:nvSpPr>
        <xdr:cNvPr id="70" name="向左箭號 69"/>
        <xdr:cNvSpPr/>
      </xdr:nvSpPr>
      <xdr:spPr>
        <a:xfrm>
          <a:off x="20899120" y="33385760"/>
          <a:ext cx="203200" cy="22352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zh-TW" altLang="en-US" sz="1100"/>
        </a:p>
      </xdr:txBody>
    </xdr:sp>
    <xdr:clientData/>
  </xdr:twoCellAnchor>
  <xdr:twoCellAnchor>
    <xdr:from>
      <xdr:col>3</xdr:col>
      <xdr:colOff>1595120</xdr:colOff>
      <xdr:row>105</xdr:row>
      <xdr:rowOff>101600</xdr:rowOff>
    </xdr:from>
    <xdr:to>
      <xdr:col>13</xdr:col>
      <xdr:colOff>792480</xdr:colOff>
      <xdr:row>111</xdr:row>
      <xdr:rowOff>81280</xdr:rowOff>
    </xdr:to>
    <xdr:cxnSp macro="">
      <xdr:nvCxnSpPr>
        <xdr:cNvPr id="72" name="直線單箭頭接點 71"/>
        <xdr:cNvCxnSpPr/>
      </xdr:nvCxnSpPr>
      <xdr:spPr>
        <a:xfrm>
          <a:off x="6390640" y="23266400"/>
          <a:ext cx="10769600" cy="124968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2032000</xdr:colOff>
      <xdr:row>105</xdr:row>
      <xdr:rowOff>172720</xdr:rowOff>
    </xdr:from>
    <xdr:to>
      <xdr:col>3</xdr:col>
      <xdr:colOff>762000</xdr:colOff>
      <xdr:row>108</xdr:row>
      <xdr:rowOff>91440</xdr:rowOff>
    </xdr:to>
    <xdr:cxnSp macro="">
      <xdr:nvCxnSpPr>
        <xdr:cNvPr id="74" name="直線單箭頭接點 73"/>
        <xdr:cNvCxnSpPr/>
      </xdr:nvCxnSpPr>
      <xdr:spPr>
        <a:xfrm flipV="1">
          <a:off x="3484880" y="23337520"/>
          <a:ext cx="2072640" cy="5486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2804160</xdr:colOff>
      <xdr:row>109</xdr:row>
      <xdr:rowOff>81280</xdr:rowOff>
    </xdr:from>
    <xdr:to>
      <xdr:col>3</xdr:col>
      <xdr:colOff>650240</xdr:colOff>
      <xdr:row>110</xdr:row>
      <xdr:rowOff>162560</xdr:rowOff>
    </xdr:to>
    <xdr:cxnSp macro="">
      <xdr:nvCxnSpPr>
        <xdr:cNvPr id="76" name="直線單箭頭接點 75"/>
        <xdr:cNvCxnSpPr/>
      </xdr:nvCxnSpPr>
      <xdr:spPr>
        <a:xfrm rot="10800000">
          <a:off x="4257040" y="24089360"/>
          <a:ext cx="1188720" cy="2946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17</xdr:col>
      <xdr:colOff>10160</xdr:colOff>
      <xdr:row>46</xdr:row>
      <xdr:rowOff>0</xdr:rowOff>
    </xdr:from>
    <xdr:to>
      <xdr:col>22</xdr:col>
      <xdr:colOff>243840</xdr:colOff>
      <xdr:row>57</xdr:row>
      <xdr:rowOff>47040</xdr:rowOff>
    </xdr:to>
    <xdr:pic>
      <xdr:nvPicPr>
        <xdr:cNvPr id="71" name="圖片 70" descr="C:\Users\ASUS\Desktop\液化區\2016-04-04_114451.jpg"/>
        <xdr:cNvPicPr/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19314160" y="9987280"/>
          <a:ext cx="3931920" cy="244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21</xdr:row>
      <xdr:rowOff>152400</xdr:rowOff>
    </xdr:from>
    <xdr:to>
      <xdr:col>11</xdr:col>
      <xdr:colOff>121920</xdr:colOff>
      <xdr:row>25</xdr:row>
      <xdr:rowOff>60960</xdr:rowOff>
    </xdr:to>
    <xdr:cxnSp macro="">
      <xdr:nvCxnSpPr>
        <xdr:cNvPr id="77" name="直線單箭頭接點 76"/>
        <xdr:cNvCxnSpPr/>
      </xdr:nvCxnSpPr>
      <xdr:spPr>
        <a:xfrm>
          <a:off x="13495020" y="4663440"/>
          <a:ext cx="960120" cy="8458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21</xdr:row>
      <xdr:rowOff>152400</xdr:rowOff>
    </xdr:from>
    <xdr:to>
      <xdr:col>11</xdr:col>
      <xdr:colOff>121920</xdr:colOff>
      <xdr:row>25</xdr:row>
      <xdr:rowOff>60960</xdr:rowOff>
    </xdr:to>
    <xdr:cxnSp macro="">
      <xdr:nvCxnSpPr>
        <xdr:cNvPr id="73" name="直線單箭頭接點 72"/>
        <xdr:cNvCxnSpPr/>
      </xdr:nvCxnSpPr>
      <xdr:spPr>
        <a:xfrm>
          <a:off x="13495020" y="4663440"/>
          <a:ext cx="960120" cy="8458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1422400</xdr:colOff>
      <xdr:row>47</xdr:row>
      <xdr:rowOff>121920</xdr:rowOff>
    </xdr:from>
    <xdr:to>
      <xdr:col>11</xdr:col>
      <xdr:colOff>853440</xdr:colOff>
      <xdr:row>55</xdr:row>
      <xdr:rowOff>71120</xdr:rowOff>
    </xdr:to>
    <xdr:cxnSp macro="">
      <xdr:nvCxnSpPr>
        <xdr:cNvPr id="78" name="直線單箭頭接點 77"/>
        <xdr:cNvCxnSpPr/>
      </xdr:nvCxnSpPr>
      <xdr:spPr>
        <a:xfrm flipV="1">
          <a:off x="5882640" y="10363200"/>
          <a:ext cx="8890000" cy="1676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X169"/>
  <sheetViews>
    <sheetView tabSelected="1" topLeftCell="B52" zoomScale="75" zoomScaleNormal="75" workbookViewId="0">
      <selection activeCell="C64" sqref="C64"/>
    </sheetView>
  </sheetViews>
  <sheetFormatPr defaultRowHeight="16.2"/>
  <cols>
    <col min="2" max="2" width="11.6640625" customWidth="1"/>
    <col min="3" max="3" width="44.44140625" customWidth="1"/>
    <col min="4" max="4" width="24.44140625" customWidth="1"/>
    <col min="5" max="5" width="22.33203125" customWidth="1"/>
    <col min="6" max="6" width="29.109375" customWidth="1"/>
    <col min="7" max="7" width="13.21875" customWidth="1"/>
    <col min="8" max="8" width="9.77734375" customWidth="1"/>
    <col min="9" max="9" width="14.21875" customWidth="1"/>
    <col min="10" max="10" width="12.44140625" customWidth="1"/>
    <col min="11" max="11" width="12.21875" customWidth="1"/>
    <col min="12" max="12" width="15.88671875" customWidth="1"/>
    <col min="13" max="13" width="13.44140625" customWidth="1"/>
    <col min="14" max="14" width="12.5546875" customWidth="1"/>
    <col min="15" max="15" width="8.109375" customWidth="1"/>
    <col min="16" max="16" width="10.6640625" customWidth="1"/>
    <col min="17" max="17" width="17.77734375" customWidth="1"/>
    <col min="19" max="19" width="13.33203125" customWidth="1"/>
    <col min="20" max="20" width="12.109375" customWidth="1"/>
    <col min="21" max="21" width="10.6640625" customWidth="1"/>
  </cols>
  <sheetData>
    <row r="1" spans="2:14">
      <c r="B1" s="1"/>
      <c r="C1" s="322" t="s">
        <v>266</v>
      </c>
      <c r="D1" s="193" t="s">
        <v>123</v>
      </c>
      <c r="E1" s="194">
        <v>46618</v>
      </c>
      <c r="F1" s="1" t="s">
        <v>201</v>
      </c>
      <c r="G1" s="1"/>
      <c r="H1" s="1"/>
      <c r="I1" s="1"/>
      <c r="J1" s="1"/>
      <c r="K1" s="1"/>
      <c r="L1" s="1"/>
      <c r="M1" s="1"/>
      <c r="N1" s="1"/>
    </row>
    <row r="2" spans="2:14" ht="16.8" thickBot="1">
      <c r="B2" s="1" t="s">
        <v>10</v>
      </c>
      <c r="C2" s="3" t="s">
        <v>268</v>
      </c>
      <c r="D2" s="321" t="s">
        <v>221</v>
      </c>
      <c r="E2" s="363" t="s">
        <v>267</v>
      </c>
      <c r="F2" s="3"/>
      <c r="G2" s="3"/>
      <c r="H2" s="3"/>
      <c r="I2" s="3"/>
      <c r="J2" s="2">
        <v>1</v>
      </c>
      <c r="K2" s="2"/>
      <c r="L2" s="2"/>
      <c r="M2" s="2"/>
      <c r="N2" s="2"/>
    </row>
    <row r="3" spans="2:14">
      <c r="B3" s="25">
        <v>1</v>
      </c>
      <c r="C3" s="5" t="s">
        <v>11</v>
      </c>
      <c r="D3" s="28"/>
      <c r="E3" s="19" t="s">
        <v>0</v>
      </c>
      <c r="F3" s="11"/>
      <c r="G3" s="12" t="s">
        <v>6</v>
      </c>
      <c r="H3" s="5" t="s">
        <v>5</v>
      </c>
      <c r="I3" s="6"/>
      <c r="J3" s="19" t="s">
        <v>9</v>
      </c>
      <c r="K3" s="2"/>
      <c r="L3" s="2"/>
      <c r="M3" s="2"/>
      <c r="N3" s="2"/>
    </row>
    <row r="4" spans="2:14" ht="19.8">
      <c r="B4" s="20"/>
      <c r="C4" s="29" t="s">
        <v>8</v>
      </c>
      <c r="D4" s="30">
        <v>4</v>
      </c>
      <c r="E4" s="26">
        <v>0</v>
      </c>
      <c r="F4" s="13" t="s">
        <v>1</v>
      </c>
      <c r="G4" s="14">
        <v>1</v>
      </c>
      <c r="H4" s="17">
        <f>E4*G4+E5*G5+E6*G6+E7*G7</f>
        <v>0.25</v>
      </c>
      <c r="I4" s="18" t="s">
        <v>7</v>
      </c>
      <c r="J4" s="21">
        <f>D4*H4*E1/46618</f>
        <v>1</v>
      </c>
      <c r="K4" s="2"/>
      <c r="L4" s="2"/>
      <c r="M4" s="2"/>
      <c r="N4" s="2"/>
    </row>
    <row r="5" spans="2:14">
      <c r="B5" s="20"/>
      <c r="C5" s="31"/>
      <c r="D5" s="32"/>
      <c r="E5" s="26">
        <v>0</v>
      </c>
      <c r="F5" s="13" t="s">
        <v>2</v>
      </c>
      <c r="G5" s="14">
        <v>0.75</v>
      </c>
      <c r="H5" s="8"/>
      <c r="I5" s="7"/>
      <c r="J5" s="22"/>
      <c r="K5" s="2"/>
      <c r="L5" s="2"/>
      <c r="M5" s="2"/>
      <c r="N5" s="2"/>
    </row>
    <row r="6" spans="2:14">
      <c r="B6" s="20"/>
      <c r="C6" s="31"/>
      <c r="D6" s="32"/>
      <c r="E6" s="26">
        <v>0</v>
      </c>
      <c r="F6" s="13" t="s">
        <v>3</v>
      </c>
      <c r="G6" s="14">
        <v>0.5</v>
      </c>
      <c r="H6" s="8"/>
      <c r="I6" s="7"/>
      <c r="J6" s="22"/>
      <c r="K6" s="2"/>
      <c r="L6" s="2"/>
      <c r="M6" s="2"/>
      <c r="N6" s="2"/>
    </row>
    <row r="7" spans="2:14" ht="16.8" thickBot="1">
      <c r="B7" s="23"/>
      <c r="C7" s="33"/>
      <c r="D7" s="34"/>
      <c r="E7" s="27">
        <v>1</v>
      </c>
      <c r="F7" s="15" t="s">
        <v>4</v>
      </c>
      <c r="G7" s="16">
        <v>0.25</v>
      </c>
      <c r="H7" s="9"/>
      <c r="I7" s="10"/>
      <c r="J7" s="24"/>
      <c r="K7" s="2"/>
      <c r="L7" s="2"/>
      <c r="M7" s="2"/>
      <c r="N7" s="2"/>
    </row>
    <row r="8" spans="2:14" ht="16.8" thickBot="1">
      <c r="B8" s="1"/>
      <c r="C8" s="4"/>
      <c r="D8" s="4"/>
      <c r="E8" s="4"/>
      <c r="F8" s="4"/>
      <c r="G8" s="4"/>
      <c r="H8" s="4"/>
      <c r="I8" s="4"/>
      <c r="J8" s="2">
        <v>2</v>
      </c>
      <c r="K8" s="2"/>
      <c r="L8" s="2"/>
      <c r="M8" s="2"/>
      <c r="N8" s="2"/>
    </row>
    <row r="9" spans="2:14">
      <c r="B9" s="25">
        <v>2</v>
      </c>
      <c r="C9" s="5" t="s">
        <v>12</v>
      </c>
      <c r="D9" s="28"/>
      <c r="E9" s="19" t="s">
        <v>0</v>
      </c>
      <c r="F9" s="11"/>
      <c r="G9" s="12" t="s">
        <v>6</v>
      </c>
      <c r="H9" s="5" t="s">
        <v>5</v>
      </c>
      <c r="I9" s="6"/>
      <c r="J9" s="19" t="s">
        <v>9</v>
      </c>
      <c r="K9" s="2"/>
      <c r="L9" s="2"/>
      <c r="M9" s="2"/>
      <c r="N9" s="2"/>
    </row>
    <row r="10" spans="2:14" ht="19.8">
      <c r="B10" s="20"/>
      <c r="C10" s="29" t="s">
        <v>8</v>
      </c>
      <c r="D10" s="30">
        <v>5</v>
      </c>
      <c r="E10" s="26">
        <v>0</v>
      </c>
      <c r="F10" s="13" t="s">
        <v>13</v>
      </c>
      <c r="G10" s="14">
        <v>1</v>
      </c>
      <c r="H10" s="17">
        <f>E10*G10+E11*G11+E12*G12+E13*G13</f>
        <v>0.4</v>
      </c>
      <c r="I10" s="18" t="s">
        <v>7</v>
      </c>
      <c r="J10" s="21">
        <f>D10*H10*E1/46618</f>
        <v>2</v>
      </c>
      <c r="K10" s="2"/>
      <c r="L10" s="2"/>
      <c r="N10" s="2"/>
    </row>
    <row r="11" spans="2:14">
      <c r="B11" s="20"/>
      <c r="C11" s="31"/>
      <c r="D11" s="32"/>
      <c r="E11" s="26">
        <v>0</v>
      </c>
      <c r="F11" s="176" t="s">
        <v>100</v>
      </c>
      <c r="G11" s="14">
        <v>0.8</v>
      </c>
      <c r="H11" s="8"/>
      <c r="I11" s="7"/>
      <c r="J11" s="22"/>
      <c r="K11" s="2"/>
      <c r="L11" s="2"/>
      <c r="M11" s="2"/>
      <c r="N11" s="2"/>
    </row>
    <row r="12" spans="2:14">
      <c r="B12" s="20"/>
      <c r="C12" s="31"/>
      <c r="D12" s="32"/>
      <c r="E12" s="26">
        <v>1</v>
      </c>
      <c r="F12" s="13" t="s">
        <v>14</v>
      </c>
      <c r="G12" s="14">
        <v>0.4</v>
      </c>
      <c r="H12" s="8"/>
      <c r="I12" s="7"/>
      <c r="J12" s="22"/>
      <c r="K12" s="2"/>
      <c r="L12" s="2"/>
      <c r="M12" s="2"/>
      <c r="N12" s="2"/>
    </row>
    <row r="13" spans="2:14" ht="16.8" thickBot="1">
      <c r="B13" s="23"/>
      <c r="C13" s="33"/>
      <c r="D13" s="34"/>
      <c r="E13" s="27">
        <v>0</v>
      </c>
      <c r="F13" s="15" t="s">
        <v>15</v>
      </c>
      <c r="G13" s="16">
        <v>0</v>
      </c>
      <c r="H13" s="9"/>
      <c r="I13" s="10"/>
      <c r="J13" s="24"/>
      <c r="K13" s="2"/>
      <c r="L13" s="2"/>
      <c r="M13" s="2"/>
      <c r="N13" s="2"/>
    </row>
    <row r="14" spans="2:14" ht="16.8" thickBot="1">
      <c r="B14" s="1"/>
      <c r="C14" s="2"/>
      <c r="D14" s="2"/>
      <c r="E14" s="2"/>
      <c r="F14" s="2"/>
      <c r="G14" s="2"/>
      <c r="H14" s="2"/>
      <c r="I14" s="2"/>
      <c r="J14" s="2">
        <v>3</v>
      </c>
      <c r="K14" s="2"/>
      <c r="L14" s="2"/>
      <c r="M14" s="2"/>
      <c r="N14" s="2"/>
    </row>
    <row r="15" spans="2:14">
      <c r="B15" s="25">
        <v>3</v>
      </c>
      <c r="C15" s="5" t="s">
        <v>19</v>
      </c>
      <c r="D15" s="6"/>
      <c r="E15" s="19" t="s">
        <v>0</v>
      </c>
      <c r="F15" s="11" t="s">
        <v>110</v>
      </c>
      <c r="G15" s="12" t="s">
        <v>16</v>
      </c>
      <c r="H15" s="5" t="s">
        <v>5</v>
      </c>
      <c r="I15" s="6"/>
      <c r="J15" s="19" t="s">
        <v>9</v>
      </c>
      <c r="K15" s="2"/>
      <c r="L15" s="2"/>
      <c r="M15" s="2"/>
      <c r="N15" s="2"/>
    </row>
    <row r="16" spans="2:14" ht="19.8">
      <c r="B16" s="20"/>
      <c r="C16" s="29" t="s">
        <v>20</v>
      </c>
      <c r="D16" s="30">
        <v>5</v>
      </c>
      <c r="E16" s="261"/>
      <c r="F16" s="13" t="s">
        <v>113</v>
      </c>
      <c r="G16" s="253">
        <v>0.6</v>
      </c>
      <c r="H16" s="17">
        <f>D19</f>
        <v>0.56000000000000016</v>
      </c>
      <c r="I16" s="18" t="s">
        <v>7</v>
      </c>
      <c r="J16" s="21">
        <f>D16*H16*E1/46618</f>
        <v>2.8000000000000007</v>
      </c>
      <c r="K16" s="2"/>
      <c r="L16" s="2"/>
      <c r="M16" s="2"/>
      <c r="N16" s="2"/>
    </row>
    <row r="17" spans="2:21">
      <c r="B17" s="20"/>
      <c r="C17" s="31" t="s">
        <v>21</v>
      </c>
      <c r="D17" s="35">
        <f>H16</f>
        <v>0.56000000000000016</v>
      </c>
      <c r="E17" s="26">
        <v>0</v>
      </c>
      <c r="F17" s="13" t="s">
        <v>96</v>
      </c>
      <c r="G17" s="14">
        <v>1.2</v>
      </c>
      <c r="H17" s="8"/>
      <c r="I17" s="7"/>
      <c r="J17" s="22"/>
      <c r="K17" s="2" t="s">
        <v>95</v>
      </c>
      <c r="L17" s="2"/>
      <c r="M17" s="2"/>
      <c r="N17" s="2"/>
    </row>
    <row r="18" spans="2:21">
      <c r="B18" s="20"/>
      <c r="C18" s="31">
        <f>(E16*G16+E17*G17+E18*G18+E19*G19)*G16*0.4</f>
        <v>0.26400000000000001</v>
      </c>
      <c r="D18" s="35">
        <f>C18-0.18</f>
        <v>8.4000000000000019E-2</v>
      </c>
      <c r="E18" s="26">
        <v>1</v>
      </c>
      <c r="F18" s="13" t="s">
        <v>17</v>
      </c>
      <c r="G18" s="14">
        <v>1.1000000000000001</v>
      </c>
      <c r="H18" s="8"/>
      <c r="I18" s="7"/>
      <c r="J18" s="22"/>
      <c r="K18" s="337" t="s">
        <v>245</v>
      </c>
      <c r="L18" s="336"/>
      <c r="M18" s="2"/>
      <c r="N18" s="2"/>
    </row>
    <row r="19" spans="2:21" ht="16.8" thickBot="1">
      <c r="B19" s="23"/>
      <c r="C19" s="33"/>
      <c r="D19" s="36">
        <f>D18/0.15</f>
        <v>0.56000000000000016</v>
      </c>
      <c r="E19" s="27">
        <v>0</v>
      </c>
      <c r="F19" s="15" t="s">
        <v>18</v>
      </c>
      <c r="G19" s="16">
        <v>1</v>
      </c>
      <c r="H19" s="9"/>
      <c r="I19" s="10"/>
      <c r="J19" s="24"/>
      <c r="K19" s="337" t="s">
        <v>246</v>
      </c>
      <c r="L19" s="338"/>
      <c r="M19" s="1"/>
      <c r="N19" s="1"/>
    </row>
    <row r="20" spans="2:21" ht="16.8" thickBot="1">
      <c r="B20" s="1"/>
      <c r="C20" s="1"/>
      <c r="D20" s="1"/>
      <c r="E20" s="1"/>
      <c r="F20" s="1"/>
      <c r="G20" s="1"/>
      <c r="H20" s="1"/>
      <c r="I20" s="1"/>
      <c r="J20" s="1">
        <v>4</v>
      </c>
      <c r="K20" s="1"/>
      <c r="L20" s="1"/>
      <c r="M20" s="1"/>
      <c r="N20" s="1"/>
    </row>
    <row r="21" spans="2:21">
      <c r="B21" s="25">
        <v>4</v>
      </c>
      <c r="C21" s="5" t="s">
        <v>22</v>
      </c>
      <c r="D21" s="6"/>
      <c r="E21" s="19" t="s">
        <v>0</v>
      </c>
      <c r="F21" s="11"/>
      <c r="G21" s="39"/>
      <c r="H21" s="5" t="s">
        <v>5</v>
      </c>
      <c r="I21" s="6"/>
      <c r="J21" s="19" t="s">
        <v>9</v>
      </c>
      <c r="L21" s="344" t="s">
        <v>249</v>
      </c>
      <c r="M21" s="345"/>
    </row>
    <row r="22" spans="2:21" ht="19.8">
      <c r="B22" s="20"/>
      <c r="C22" s="29" t="s">
        <v>20</v>
      </c>
      <c r="D22" s="30">
        <v>5</v>
      </c>
      <c r="G22" s="40"/>
      <c r="H22" s="189">
        <f>E23*G23+E24*G24+E25*G25</f>
        <v>0</v>
      </c>
      <c r="I22" s="18" t="s">
        <v>7</v>
      </c>
      <c r="J22" s="180">
        <f>D22*H22*E1/46618</f>
        <v>0</v>
      </c>
      <c r="L22" s="288">
        <f>D25</f>
        <v>1.7976367010537542</v>
      </c>
      <c r="M22" s="346"/>
    </row>
    <row r="23" spans="2:21" ht="18.600000000000001">
      <c r="B23" s="20"/>
      <c r="C23" s="183" t="s">
        <v>255</v>
      </c>
      <c r="D23" s="184">
        <v>6864.98</v>
      </c>
      <c r="E23" s="26">
        <v>1</v>
      </c>
      <c r="F23" s="185" t="s">
        <v>115</v>
      </c>
      <c r="G23" s="30">
        <v>0</v>
      </c>
      <c r="H23" s="43" t="s">
        <v>23</v>
      </c>
      <c r="I23" s="41"/>
      <c r="J23" s="42"/>
      <c r="L23" s="31">
        <f>1.5-L22</f>
        <v>-0.29763670105375417</v>
      </c>
      <c r="M23" s="32"/>
    </row>
    <row r="24" spans="2:21" ht="18.600000000000001">
      <c r="B24" s="20"/>
      <c r="C24" s="183" t="s">
        <v>256</v>
      </c>
      <c r="D24" s="184">
        <v>12340.74</v>
      </c>
      <c r="E24" s="26">
        <v>0</v>
      </c>
      <c r="F24" s="186" t="s">
        <v>117</v>
      </c>
      <c r="G24" s="30">
        <f>L24</f>
        <v>-0.19842446736916944</v>
      </c>
      <c r="H24" s="37" t="str">
        <f>F24</f>
        <v>0&lt;ra&lt;1.5</v>
      </c>
      <c r="I24" s="7"/>
      <c r="J24" s="22"/>
      <c r="L24" s="31">
        <f>L23/1.5</f>
        <v>-0.19842446736916944</v>
      </c>
      <c r="M24" s="32"/>
    </row>
    <row r="25" spans="2:21" ht="16.8" thickBot="1">
      <c r="B25" s="23"/>
      <c r="C25" s="33" t="s">
        <v>114</v>
      </c>
      <c r="D25" s="188">
        <f>D24/D23</f>
        <v>1.7976367010537542</v>
      </c>
      <c r="E25" s="26">
        <v>0</v>
      </c>
      <c r="F25" s="186" t="s">
        <v>116</v>
      </c>
      <c r="G25" s="187">
        <v>1</v>
      </c>
      <c r="H25" s="9"/>
      <c r="I25" s="10"/>
      <c r="J25" s="24"/>
      <c r="L25" s="31">
        <f>D22*L24</f>
        <v>-0.99212233684584716</v>
      </c>
      <c r="M25" s="32"/>
    </row>
    <row r="26" spans="2:21" ht="16.8" thickBot="1">
      <c r="J26">
        <v>5</v>
      </c>
      <c r="L26" s="347"/>
      <c r="M26" s="348"/>
    </row>
    <row r="27" spans="2:21">
      <c r="B27" s="25">
        <v>5</v>
      </c>
      <c r="C27" s="5" t="s">
        <v>24</v>
      </c>
      <c r="D27" s="28"/>
      <c r="E27" s="19" t="s">
        <v>0</v>
      </c>
      <c r="F27" s="11"/>
      <c r="G27" s="12" t="s">
        <v>6</v>
      </c>
      <c r="H27" s="5" t="s">
        <v>5</v>
      </c>
      <c r="I27" s="6"/>
      <c r="J27" s="19" t="s">
        <v>9</v>
      </c>
      <c r="Q27" s="295" t="s">
        <v>213</v>
      </c>
      <c r="R27" s="296">
        <v>300</v>
      </c>
      <c r="S27" s="297" t="s">
        <v>214</v>
      </c>
      <c r="T27" s="302"/>
      <c r="U27" s="303"/>
    </row>
    <row r="28" spans="2:21" ht="19.8">
      <c r="B28" s="20"/>
      <c r="C28" s="29" t="s">
        <v>8</v>
      </c>
      <c r="D28" s="30">
        <v>5</v>
      </c>
      <c r="E28" s="26">
        <v>0</v>
      </c>
      <c r="F28" s="13" t="s">
        <v>25</v>
      </c>
      <c r="G28" s="14">
        <v>1</v>
      </c>
      <c r="H28" s="17">
        <f>E28*G28+E29*G29+E30*G30+E31*G31</f>
        <v>0</v>
      </c>
      <c r="I28" s="18" t="s">
        <v>7</v>
      </c>
      <c r="J28" s="21">
        <f>D28*H28*E1/46618</f>
        <v>0</v>
      </c>
      <c r="Q28" s="37" t="s">
        <v>215</v>
      </c>
      <c r="R28" s="83">
        <v>15</v>
      </c>
      <c r="S28" s="298"/>
      <c r="T28" s="289"/>
      <c r="U28" s="290"/>
    </row>
    <row r="29" spans="2:21" ht="16.8" thickBot="1">
      <c r="B29" s="20"/>
      <c r="C29" s="31"/>
      <c r="D29" s="32"/>
      <c r="E29" s="26">
        <v>0</v>
      </c>
      <c r="F29" s="13" t="s">
        <v>26</v>
      </c>
      <c r="G29" s="14">
        <v>0.5</v>
      </c>
      <c r="H29" s="8"/>
      <c r="I29" s="7"/>
      <c r="J29" s="22"/>
      <c r="Q29" s="299" t="s">
        <v>216</v>
      </c>
      <c r="R29" s="300">
        <f>R27/R28</f>
        <v>20</v>
      </c>
      <c r="S29" s="301" t="s">
        <v>214</v>
      </c>
      <c r="T29" s="304">
        <f>R29^0.5</f>
        <v>4.4721359549995796</v>
      </c>
      <c r="U29" s="305" t="s">
        <v>217</v>
      </c>
    </row>
    <row r="30" spans="2:21">
      <c r="B30" s="20"/>
      <c r="C30" s="31"/>
      <c r="D30" s="32"/>
      <c r="E30" s="26">
        <v>1</v>
      </c>
      <c r="F30" s="13" t="s">
        <v>27</v>
      </c>
      <c r="G30" s="14">
        <v>0</v>
      </c>
      <c r="H30" s="8"/>
      <c r="I30" s="7"/>
      <c r="J30" s="22"/>
    </row>
    <row r="31" spans="2:21" ht="16.8" thickBot="1">
      <c r="B31" s="23"/>
      <c r="C31" s="33"/>
      <c r="D31" s="34"/>
      <c r="E31" s="262"/>
      <c r="F31" s="15"/>
      <c r="G31" s="16"/>
      <c r="H31" s="9"/>
      <c r="I31" s="10"/>
      <c r="J31" s="24"/>
    </row>
    <row r="32" spans="2:21" ht="16.8" thickBot="1">
      <c r="J32">
        <v>6</v>
      </c>
      <c r="L32" s="306"/>
      <c r="M32" s="307"/>
      <c r="N32" s="307"/>
      <c r="O32" s="308"/>
    </row>
    <row r="33" spans="2:23" ht="16.8" thickBot="1">
      <c r="B33" s="25">
        <v>6</v>
      </c>
      <c r="C33" s="5" t="s">
        <v>28</v>
      </c>
      <c r="D33" s="28"/>
      <c r="E33" s="204" t="s">
        <v>70</v>
      </c>
      <c r="F33" s="11"/>
      <c r="G33" s="198" t="s">
        <v>6</v>
      </c>
      <c r="H33" s="5" t="s">
        <v>5</v>
      </c>
      <c r="I33" s="6"/>
      <c r="J33" s="19" t="s">
        <v>9</v>
      </c>
      <c r="L33" s="52" t="s">
        <v>250</v>
      </c>
      <c r="M33" s="309">
        <v>1.2</v>
      </c>
      <c r="N33" s="310"/>
      <c r="O33" s="311"/>
      <c r="Q33" s="314">
        <v>1</v>
      </c>
      <c r="R33" s="302" t="s">
        <v>202</v>
      </c>
      <c r="S33" s="302" t="s">
        <v>203</v>
      </c>
      <c r="T33" s="302"/>
      <c r="U33" s="302"/>
      <c r="V33" s="302"/>
      <c r="W33" s="303"/>
    </row>
    <row r="34" spans="2:23" ht="20.399999999999999" thickBot="1">
      <c r="B34" s="20"/>
      <c r="C34" s="29" t="s">
        <v>8</v>
      </c>
      <c r="D34" s="201">
        <v>4</v>
      </c>
      <c r="E34" s="46">
        <v>0</v>
      </c>
      <c r="F34" s="203" t="s">
        <v>130</v>
      </c>
      <c r="G34" s="199">
        <v>1</v>
      </c>
      <c r="H34" s="196">
        <f>E34*G34+E35*G35+E37*G37</f>
        <v>0.15357142857142858</v>
      </c>
      <c r="I34" s="18" t="s">
        <v>7</v>
      </c>
      <c r="J34" s="180">
        <f>D34*H34*E1/46618</f>
        <v>0.61428571428571432</v>
      </c>
      <c r="L34" s="227">
        <f>D35*1.8</f>
        <v>14.22</v>
      </c>
      <c r="M34" s="56"/>
      <c r="N34" s="310"/>
      <c r="O34" s="311"/>
      <c r="Q34" s="288"/>
      <c r="R34" s="289" t="s">
        <v>204</v>
      </c>
      <c r="S34" s="291">
        <v>4.47</v>
      </c>
      <c r="T34" s="289" t="s">
        <v>205</v>
      </c>
      <c r="U34" s="289">
        <f>S34+0.33</f>
        <v>4.8</v>
      </c>
      <c r="V34" s="289"/>
      <c r="W34" s="290"/>
    </row>
    <row r="35" spans="2:23">
      <c r="B35" s="20"/>
      <c r="C35" s="31" t="s">
        <v>124</v>
      </c>
      <c r="D35" s="202">
        <v>7.9</v>
      </c>
      <c r="E35" s="206">
        <v>1</v>
      </c>
      <c r="F35" s="203" t="s">
        <v>42</v>
      </c>
      <c r="G35" s="211">
        <f>1-D37</f>
        <v>0.15357142857142858</v>
      </c>
      <c r="H35" s="197"/>
      <c r="I35" s="7"/>
      <c r="J35" s="22"/>
      <c r="L35" s="227">
        <f>D36*M33</f>
        <v>16.8</v>
      </c>
      <c r="M35" s="56"/>
      <c r="N35" s="310"/>
      <c r="O35" s="311"/>
      <c r="Q35" s="288"/>
      <c r="R35" s="289" t="s">
        <v>206</v>
      </c>
      <c r="S35" s="291">
        <v>10</v>
      </c>
      <c r="T35" s="289"/>
      <c r="U35" s="289">
        <f>U34/S34</f>
        <v>1.0738255033557047</v>
      </c>
      <c r="V35" s="289">
        <f>U35^2</f>
        <v>1.1531012116571326</v>
      </c>
      <c r="W35" s="290"/>
    </row>
    <row r="36" spans="2:23" ht="16.8" thickBot="1">
      <c r="B36" s="20"/>
      <c r="C36" s="31" t="s">
        <v>125</v>
      </c>
      <c r="D36" s="202">
        <v>14</v>
      </c>
      <c r="E36" s="207"/>
      <c r="F36" s="203" t="s">
        <v>43</v>
      </c>
      <c r="G36" s="200"/>
      <c r="H36" s="197"/>
      <c r="I36" s="7"/>
      <c r="J36" s="22"/>
      <c r="L36" s="169">
        <f>D37</f>
        <v>0.84642857142857142</v>
      </c>
      <c r="M36" s="325" t="s">
        <v>251</v>
      </c>
      <c r="N36" s="326" t="s">
        <v>222</v>
      </c>
      <c r="O36" s="327"/>
      <c r="Q36" s="288"/>
      <c r="R36" s="289" t="s">
        <v>207</v>
      </c>
      <c r="S36" s="289"/>
      <c r="T36" s="289"/>
      <c r="U36" s="289"/>
      <c r="V36" s="289"/>
      <c r="W36" s="290"/>
    </row>
    <row r="37" spans="2:23" ht="16.8" thickBot="1">
      <c r="B37" s="23"/>
      <c r="C37" s="33" t="s">
        <v>126</v>
      </c>
      <c r="D37" s="195">
        <f>L34/L35</f>
        <v>0.84642857142857142</v>
      </c>
      <c r="E37" s="205">
        <v>0</v>
      </c>
      <c r="F37" s="76" t="s">
        <v>129</v>
      </c>
      <c r="G37" s="210">
        <v>0.33</v>
      </c>
      <c r="H37" s="9"/>
      <c r="I37" s="10"/>
      <c r="J37" s="24"/>
      <c r="L37" s="312" t="str">
        <f>IF(L36&lt;1,"軟弱土層",IF(L36&gt;1,"尚可"))</f>
        <v>軟弱土層</v>
      </c>
      <c r="M37" s="313"/>
      <c r="N37" s="310"/>
      <c r="O37" s="311"/>
      <c r="Q37" s="288"/>
      <c r="R37" s="289" t="s">
        <v>208</v>
      </c>
      <c r="S37" s="292">
        <f>0.88*S35*V35</f>
        <v>10.147290662582767</v>
      </c>
      <c r="T37" s="289" t="s">
        <v>209</v>
      </c>
      <c r="U37" s="293" t="s">
        <v>210</v>
      </c>
      <c r="V37" s="289"/>
      <c r="W37" s="290"/>
    </row>
    <row r="38" spans="2:23" ht="16.8" thickBot="1">
      <c r="J38">
        <v>7</v>
      </c>
      <c r="L38" s="44" t="s">
        <v>252</v>
      </c>
      <c r="M38" s="83">
        <v>6</v>
      </c>
      <c r="N38" s="44">
        <f>M38/0.8</f>
        <v>7.5</v>
      </c>
      <c r="O38" s="44" t="s">
        <v>253</v>
      </c>
      <c r="Q38" s="288"/>
      <c r="R38" s="289"/>
      <c r="S38" s="289"/>
      <c r="T38" s="289"/>
      <c r="U38" s="294" t="s">
        <v>211</v>
      </c>
      <c r="V38" s="294" t="str">
        <f>IF(S37&lt;S39,"C7",IF(S39&lt;S37,"C9"))</f>
        <v>C7</v>
      </c>
      <c r="W38" s="290"/>
    </row>
    <row r="39" spans="2:23" ht="16.8" thickBot="1">
      <c r="B39" s="25">
        <v>7</v>
      </c>
      <c r="C39" s="5" t="s">
        <v>29</v>
      </c>
      <c r="D39" s="335" t="s">
        <v>243</v>
      </c>
      <c r="E39" s="19" t="s">
        <v>70</v>
      </c>
      <c r="F39" s="11" t="s">
        <v>32</v>
      </c>
      <c r="G39" s="12" t="s">
        <v>6</v>
      </c>
      <c r="H39" s="5" t="s">
        <v>5</v>
      </c>
      <c r="I39" s="6"/>
      <c r="J39" s="19" t="s">
        <v>9</v>
      </c>
      <c r="L39" s="44"/>
      <c r="M39" s="330" t="s">
        <v>254</v>
      </c>
      <c r="N39" s="44"/>
      <c r="O39" s="44"/>
      <c r="Q39" s="315">
        <v>2</v>
      </c>
      <c r="R39" s="304" t="s">
        <v>212</v>
      </c>
      <c r="S39" s="316">
        <f>S35/8*10</f>
        <v>12.5</v>
      </c>
      <c r="T39" s="304" t="s">
        <v>209</v>
      </c>
      <c r="U39" s="304"/>
      <c r="V39" s="304"/>
      <c r="W39" s="305"/>
    </row>
    <row r="40" spans="2:23" ht="19.8">
      <c r="B40" s="20"/>
      <c r="C40" s="29" t="s">
        <v>8</v>
      </c>
      <c r="D40" s="30">
        <v>6</v>
      </c>
      <c r="E40" s="26">
        <v>0</v>
      </c>
      <c r="F40" s="13" t="s">
        <v>33</v>
      </c>
      <c r="G40" s="14">
        <v>1</v>
      </c>
      <c r="H40" s="17">
        <f>E40*G40+E41*G41+E42*G42+E43*G43</f>
        <v>0.16666666666666674</v>
      </c>
      <c r="I40" s="18" t="s">
        <v>7</v>
      </c>
      <c r="J40" s="180">
        <f>D40*H40*E1/46618</f>
        <v>1.0000000000000004</v>
      </c>
    </row>
    <row r="41" spans="2:23">
      <c r="B41" s="20"/>
      <c r="C41" s="31" t="s">
        <v>35</v>
      </c>
      <c r="D41" s="174">
        <f>D43/D42</f>
        <v>8.6666666666666661</v>
      </c>
      <c r="E41" s="26">
        <v>1</v>
      </c>
      <c r="F41" s="177"/>
      <c r="G41" s="341">
        <f>G44</f>
        <v>0.16666666666666674</v>
      </c>
      <c r="H41" s="8"/>
      <c r="I41" s="7"/>
      <c r="J41" s="22"/>
    </row>
    <row r="42" spans="2:23">
      <c r="B42" s="20"/>
      <c r="C42" s="31" t="s">
        <v>30</v>
      </c>
      <c r="D42" s="70">
        <v>75</v>
      </c>
      <c r="E42" s="26">
        <v>0</v>
      </c>
      <c r="F42" s="13" t="s">
        <v>34</v>
      </c>
      <c r="G42" s="14">
        <v>0</v>
      </c>
      <c r="H42" s="8"/>
      <c r="I42" s="85"/>
      <c r="J42" s="22"/>
    </row>
    <row r="43" spans="2:23" ht="16.8" thickBot="1">
      <c r="B43" s="23"/>
      <c r="C43" s="33" t="s">
        <v>31</v>
      </c>
      <c r="D43" s="71">
        <v>650</v>
      </c>
      <c r="E43" s="262"/>
      <c r="F43" s="15"/>
      <c r="G43" s="16"/>
      <c r="H43" s="9"/>
      <c r="I43" s="10"/>
      <c r="J43" s="24"/>
    </row>
    <row r="44" spans="2:23" ht="16.8" thickBot="1">
      <c r="B44" s="107"/>
      <c r="C44" s="109"/>
      <c r="D44" s="109"/>
      <c r="E44" s="109"/>
      <c r="F44" s="109"/>
      <c r="G44" s="208">
        <f>(10-D41)/8</f>
        <v>0.16666666666666674</v>
      </c>
      <c r="H44" s="209" t="s">
        <v>128</v>
      </c>
      <c r="I44" s="109"/>
      <c r="J44" s="110"/>
    </row>
    <row r="45" spans="2:23" ht="16.8" thickBot="1">
      <c r="J45">
        <v>8</v>
      </c>
    </row>
    <row r="46" spans="2:23" ht="16.8" thickBot="1">
      <c r="B46" s="25">
        <v>8</v>
      </c>
      <c r="C46" s="5" t="s">
        <v>36</v>
      </c>
      <c r="D46" s="335" t="s">
        <v>244</v>
      </c>
      <c r="E46" s="74" t="s">
        <v>0</v>
      </c>
      <c r="F46" s="11" t="s">
        <v>32</v>
      </c>
      <c r="G46" s="12" t="s">
        <v>132</v>
      </c>
      <c r="H46" s="5" t="s">
        <v>5</v>
      </c>
      <c r="I46" s="6"/>
      <c r="J46" s="19" t="s">
        <v>9</v>
      </c>
    </row>
    <row r="47" spans="2:23" ht="19.8">
      <c r="B47" s="20"/>
      <c r="C47" s="29" t="s">
        <v>8</v>
      </c>
      <c r="D47" s="30">
        <v>6</v>
      </c>
      <c r="E47" s="26">
        <v>0</v>
      </c>
      <c r="F47" s="13" t="s">
        <v>33</v>
      </c>
      <c r="G47" s="14">
        <v>1</v>
      </c>
      <c r="H47" s="17">
        <f>E47*G47+E48*G48+E49*G49+E50*G50</f>
        <v>0.31944444444444442</v>
      </c>
      <c r="I47" s="18" t="s">
        <v>7</v>
      </c>
      <c r="J47" s="180">
        <f>D47*H47*E1/46618</f>
        <v>1.9166666666666665</v>
      </c>
      <c r="L47" s="11"/>
      <c r="M47" s="53" t="s">
        <v>257</v>
      </c>
      <c r="N47" s="53" t="s">
        <v>258</v>
      </c>
      <c r="O47" s="53" t="s">
        <v>259</v>
      </c>
      <c r="P47" s="12"/>
    </row>
    <row r="48" spans="2:23">
      <c r="B48" s="20"/>
      <c r="C48" s="31" t="s">
        <v>131</v>
      </c>
      <c r="D48" s="181">
        <f>D50/D49</f>
        <v>4.7222222222222223</v>
      </c>
      <c r="E48" s="26">
        <v>1</v>
      </c>
      <c r="F48" s="342">
        <f>D48</f>
        <v>4.7222222222222223</v>
      </c>
      <c r="G48" s="340">
        <f>G51</f>
        <v>0.31944444444444442</v>
      </c>
      <c r="H48" s="8"/>
      <c r="I48" s="7"/>
      <c r="J48" s="22"/>
      <c r="L48" s="13" t="s">
        <v>260</v>
      </c>
      <c r="M48" s="66">
        <v>0.12</v>
      </c>
      <c r="N48" s="66">
        <v>10</v>
      </c>
      <c r="O48" s="66">
        <v>1</v>
      </c>
      <c r="P48" s="349">
        <f>O48*N48*M48</f>
        <v>1.2</v>
      </c>
    </row>
    <row r="49" spans="2:16">
      <c r="B49" s="20"/>
      <c r="C49" s="31" t="s">
        <v>38</v>
      </c>
      <c r="D49" s="70">
        <v>90</v>
      </c>
      <c r="E49" s="26">
        <v>0</v>
      </c>
      <c r="F49" s="13" t="s">
        <v>39</v>
      </c>
      <c r="G49" s="14">
        <v>0</v>
      </c>
      <c r="H49" s="8"/>
      <c r="I49" s="7"/>
      <c r="J49" s="22"/>
      <c r="L49" s="13" t="s">
        <v>260</v>
      </c>
      <c r="M49" s="66">
        <v>0.15</v>
      </c>
      <c r="N49" s="66">
        <v>8</v>
      </c>
      <c r="O49" s="66">
        <v>0</v>
      </c>
      <c r="P49" s="349">
        <f>O49*N49*M49</f>
        <v>0</v>
      </c>
    </row>
    <row r="50" spans="2:16" ht="16.8" thickBot="1">
      <c r="B50" s="23"/>
      <c r="C50" s="33" t="s">
        <v>37</v>
      </c>
      <c r="D50" s="71">
        <v>425</v>
      </c>
      <c r="E50" s="262"/>
      <c r="F50" s="15"/>
      <c r="G50" s="16"/>
      <c r="H50" s="9"/>
      <c r="I50" s="10"/>
      <c r="J50" s="24"/>
      <c r="L50" s="350"/>
      <c r="M50" s="350"/>
      <c r="N50" s="350"/>
      <c r="O50" s="351" t="s">
        <v>261</v>
      </c>
      <c r="P50" s="352">
        <f>P49+P48</f>
        <v>1.2</v>
      </c>
    </row>
    <row r="51" spans="2:16" ht="16.8" thickBot="1">
      <c r="B51" s="107"/>
      <c r="C51" s="109"/>
      <c r="D51" s="109"/>
      <c r="E51" s="109"/>
      <c r="F51" s="109"/>
      <c r="G51" s="109">
        <f>(6-D48)/4</f>
        <v>0.31944444444444442</v>
      </c>
      <c r="H51" s="113"/>
      <c r="I51" s="109"/>
      <c r="J51" s="110"/>
      <c r="L51" s="353" t="s">
        <v>262</v>
      </c>
      <c r="M51" s="319">
        <v>0.12</v>
      </c>
      <c r="N51" s="319">
        <v>10</v>
      </c>
      <c r="O51" s="319">
        <v>1</v>
      </c>
      <c r="P51" s="354">
        <f>O51*N51*M51</f>
        <v>1.2</v>
      </c>
    </row>
    <row r="52" spans="2:16">
      <c r="L52" s="353" t="s">
        <v>262</v>
      </c>
      <c r="M52" s="319">
        <v>0.24</v>
      </c>
      <c r="N52" s="319">
        <v>5.5</v>
      </c>
      <c r="O52" s="319">
        <v>1</v>
      </c>
      <c r="P52" s="354">
        <f>O52*N52*M52</f>
        <v>1.3199999999999998</v>
      </c>
    </row>
    <row r="53" spans="2:16" ht="16.8" thickBot="1">
      <c r="J53">
        <v>9</v>
      </c>
      <c r="L53" s="353"/>
      <c r="M53" s="319"/>
      <c r="N53" s="319"/>
      <c r="O53" s="224" t="s">
        <v>263</v>
      </c>
      <c r="P53" s="352">
        <f>P52+P51</f>
        <v>2.5199999999999996</v>
      </c>
    </row>
    <row r="54" spans="2:16" ht="16.8" thickBot="1">
      <c r="B54" s="25">
        <v>9</v>
      </c>
      <c r="C54" s="256" t="s">
        <v>168</v>
      </c>
      <c r="D54" s="28"/>
      <c r="E54" s="74" t="s">
        <v>70</v>
      </c>
      <c r="F54" s="11" t="s">
        <v>97</v>
      </c>
      <c r="G54" s="12" t="s">
        <v>6</v>
      </c>
      <c r="H54" s="5" t="s">
        <v>5</v>
      </c>
      <c r="I54" s="6"/>
      <c r="J54" s="19" t="s">
        <v>9</v>
      </c>
      <c r="M54" t="s">
        <v>264</v>
      </c>
      <c r="N54" t="s">
        <v>258</v>
      </c>
      <c r="O54" t="s">
        <v>259</v>
      </c>
    </row>
    <row r="55" spans="2:16" ht="20.399999999999999" thickBot="1">
      <c r="B55" s="2"/>
      <c r="C55" s="212" t="s">
        <v>8</v>
      </c>
      <c r="D55" s="30">
        <v>8</v>
      </c>
      <c r="E55" s="26">
        <v>0</v>
      </c>
      <c r="F55" s="13" t="s">
        <v>41</v>
      </c>
      <c r="G55" s="14">
        <v>1</v>
      </c>
      <c r="H55" s="17">
        <f>E55*G55+E56*G56+E57*G57+E58*G58</f>
        <v>0.92380952380952386</v>
      </c>
      <c r="I55" s="18" t="s">
        <v>7</v>
      </c>
      <c r="J55" s="21">
        <f>D55*H55*E1/46618</f>
        <v>7.3904761904761918</v>
      </c>
      <c r="L55" s="355" t="s">
        <v>265</v>
      </c>
      <c r="M55" s="356">
        <v>0.7</v>
      </c>
      <c r="N55" s="356">
        <v>0.9</v>
      </c>
      <c r="O55" s="356">
        <v>20</v>
      </c>
      <c r="P55" s="357">
        <f>O55*N55*M55</f>
        <v>12.6</v>
      </c>
    </row>
    <row r="56" spans="2:16">
      <c r="B56" s="2"/>
      <c r="C56" s="2" t="s">
        <v>166</v>
      </c>
      <c r="D56" s="49">
        <v>1.2</v>
      </c>
      <c r="E56" s="26">
        <v>1</v>
      </c>
      <c r="F56" s="13">
        <f>D60</f>
        <v>7.6190476190476183E-2</v>
      </c>
      <c r="G56" s="14">
        <f>1-F56</f>
        <v>0.92380952380952386</v>
      </c>
      <c r="H56" s="8"/>
      <c r="I56" s="7"/>
      <c r="J56" s="22"/>
      <c r="L56" s="358"/>
      <c r="M56" s="356">
        <v>0.7</v>
      </c>
      <c r="N56" s="356">
        <v>0.8</v>
      </c>
      <c r="O56" s="356">
        <v>0</v>
      </c>
      <c r="P56" s="357">
        <f>O56*N56*M56</f>
        <v>0</v>
      </c>
    </row>
    <row r="57" spans="2:16" ht="16.8" thickBot="1">
      <c r="B57" s="2"/>
      <c r="C57" s="2" t="s">
        <v>167</v>
      </c>
      <c r="D57" s="49">
        <v>0</v>
      </c>
      <c r="E57" s="26">
        <v>0</v>
      </c>
      <c r="F57" s="13" t="s">
        <v>40</v>
      </c>
      <c r="G57" s="14">
        <v>0</v>
      </c>
      <c r="H57" s="8"/>
      <c r="I57" s="7"/>
      <c r="J57" s="22"/>
      <c r="L57" s="358"/>
      <c r="M57" s="359">
        <v>0.7</v>
      </c>
      <c r="N57" s="359">
        <v>0.6</v>
      </c>
      <c r="O57" s="359">
        <v>0</v>
      </c>
      <c r="P57" s="360">
        <f>O57*N57*M57</f>
        <v>0</v>
      </c>
    </row>
    <row r="58" spans="2:16" ht="16.8" thickBot="1">
      <c r="B58" s="2"/>
      <c r="C58" s="2" t="s">
        <v>133</v>
      </c>
      <c r="D58" s="49">
        <v>0</v>
      </c>
      <c r="E58" s="263"/>
      <c r="F58" s="15"/>
      <c r="G58" s="16"/>
      <c r="H58" s="9"/>
      <c r="I58" s="10"/>
      <c r="J58" s="24"/>
      <c r="L58" s="358"/>
      <c r="M58" s="356">
        <v>0.7</v>
      </c>
      <c r="N58" s="356">
        <v>0.9</v>
      </c>
      <c r="O58" s="356">
        <v>0</v>
      </c>
      <c r="P58" s="357">
        <f>O58*N58*M58</f>
        <v>0</v>
      </c>
    </row>
    <row r="59" spans="2:16" ht="16.8" thickBot="1">
      <c r="B59" s="90"/>
      <c r="C59" s="138" t="s">
        <v>134</v>
      </c>
      <c r="D59" s="213">
        <v>12.6</v>
      </c>
      <c r="E59" s="90">
        <f>D56*I60</f>
        <v>0.96</v>
      </c>
      <c r="F59" s="79">
        <f>1-D60</f>
        <v>0.92380952380952386</v>
      </c>
      <c r="G59" s="79">
        <f>(6-D56)/4</f>
        <v>1.2</v>
      </c>
      <c r="H59" s="111"/>
      <c r="I59" s="79"/>
      <c r="J59" s="106"/>
      <c r="L59" s="358"/>
      <c r="M59" s="359">
        <v>0.7</v>
      </c>
      <c r="N59" s="359">
        <v>0.9</v>
      </c>
      <c r="O59" s="359">
        <v>0</v>
      </c>
      <c r="P59" s="360">
        <f>O59*N59*M59</f>
        <v>0</v>
      </c>
    </row>
    <row r="60" spans="2:16" ht="16.8" thickBot="1">
      <c r="B60" s="90"/>
      <c r="C60" s="214" t="s">
        <v>269</v>
      </c>
      <c r="D60" s="217">
        <f>E61/D59</f>
        <v>7.6190476190476183E-2</v>
      </c>
      <c r="E60" s="90">
        <f>D57*I61</f>
        <v>0</v>
      </c>
      <c r="F60" s="79"/>
      <c r="G60" s="79"/>
      <c r="H60" s="245" t="s">
        <v>175</v>
      </c>
      <c r="I60" s="246">
        <v>0.8</v>
      </c>
      <c r="J60" s="106"/>
      <c r="L60" s="361"/>
      <c r="M60" s="362"/>
      <c r="N60" s="362"/>
      <c r="O60" s="362" t="s">
        <v>261</v>
      </c>
      <c r="P60" s="154">
        <f>P59+P58+P57+P56+P55</f>
        <v>12.6</v>
      </c>
    </row>
    <row r="61" spans="2:16" ht="16.8" thickBot="1">
      <c r="B61" s="90"/>
      <c r="C61" s="90"/>
      <c r="D61" s="90"/>
      <c r="E61" s="215">
        <f>E59+E60</f>
        <v>0.96</v>
      </c>
      <c r="F61" s="112"/>
      <c r="G61" s="109"/>
      <c r="H61" s="247" t="s">
        <v>176</v>
      </c>
      <c r="I61" s="248">
        <v>0.5</v>
      </c>
      <c r="J61" s="110"/>
    </row>
    <row r="62" spans="2:16" ht="16.8" thickBot="1">
      <c r="C62" s="343" t="s">
        <v>248</v>
      </c>
      <c r="L62" s="99"/>
      <c r="M62" s="149" t="s">
        <v>182</v>
      </c>
      <c r="N62" s="282">
        <v>225</v>
      </c>
      <c r="O62" s="171" t="s">
        <v>183</v>
      </c>
    </row>
    <row r="63" spans="2:16">
      <c r="B63" s="5">
        <v>10</v>
      </c>
      <c r="C63" s="50" t="s">
        <v>101</v>
      </c>
      <c r="D63" s="51"/>
      <c r="E63" s="52" t="s">
        <v>0</v>
      </c>
      <c r="F63" s="64"/>
      <c r="G63" s="53" t="s">
        <v>6</v>
      </c>
      <c r="H63" s="50" t="s">
        <v>5</v>
      </c>
      <c r="I63" s="50"/>
      <c r="J63" s="54" t="s">
        <v>9</v>
      </c>
      <c r="L63" s="116"/>
      <c r="M63" s="2" t="s">
        <v>179</v>
      </c>
      <c r="N63" s="250">
        <v>115</v>
      </c>
      <c r="O63" s="35" t="s">
        <v>180</v>
      </c>
    </row>
    <row r="64" spans="2:16" ht="19.8">
      <c r="B64" s="31"/>
      <c r="C64" s="45" t="s">
        <v>8</v>
      </c>
      <c r="D64" s="45">
        <v>8</v>
      </c>
      <c r="E64" s="63"/>
      <c r="F64" s="65"/>
      <c r="G64" s="65"/>
      <c r="H64" s="47">
        <f>E68*G68+E65*G65+E66*G66+E67*G67</f>
        <v>1</v>
      </c>
      <c r="I64" s="48" t="s">
        <v>7</v>
      </c>
      <c r="J64" s="55">
        <f>D64*H64*E1/46618</f>
        <v>8</v>
      </c>
      <c r="L64" s="31"/>
      <c r="M64" s="2" t="s">
        <v>181</v>
      </c>
      <c r="N64" s="250">
        <v>70</v>
      </c>
      <c r="O64" s="35" t="s">
        <v>180</v>
      </c>
    </row>
    <row r="65" spans="2:49">
      <c r="B65" s="31"/>
      <c r="C65" s="72" t="s">
        <v>103</v>
      </c>
      <c r="D65" s="49"/>
      <c r="E65" s="46">
        <v>1</v>
      </c>
      <c r="F65" s="38"/>
      <c r="G65" s="38">
        <f>1-F65</f>
        <v>1</v>
      </c>
      <c r="H65" s="44"/>
      <c r="I65" s="44"/>
      <c r="J65" s="56"/>
      <c r="L65" s="31"/>
      <c r="M65" s="2"/>
      <c r="N65" s="250"/>
      <c r="O65" s="35"/>
    </row>
    <row r="66" spans="2:49">
      <c r="B66" s="31"/>
      <c r="C66" s="72" t="s">
        <v>102</v>
      </c>
      <c r="D66" s="49"/>
      <c r="E66" s="46">
        <v>0</v>
      </c>
      <c r="F66" s="38"/>
      <c r="G66" s="38">
        <v>1</v>
      </c>
      <c r="H66" s="44"/>
      <c r="I66" s="44"/>
      <c r="J66" s="56"/>
      <c r="L66" s="31"/>
      <c r="M66" s="2"/>
      <c r="N66" s="2">
        <f>N64+N65</f>
        <v>70</v>
      </c>
      <c r="O66" s="35"/>
    </row>
    <row r="67" spans="2:49">
      <c r="B67" s="31"/>
      <c r="C67" s="72" t="s">
        <v>104</v>
      </c>
      <c r="D67" s="49"/>
      <c r="E67" s="46">
        <v>0</v>
      </c>
      <c r="F67" s="66"/>
      <c r="G67" s="67">
        <v>0.5</v>
      </c>
      <c r="H67" s="83"/>
      <c r="I67" s="83"/>
      <c r="J67" s="57"/>
      <c r="L67" s="283" t="s">
        <v>184</v>
      </c>
      <c r="M67" s="227" t="s">
        <v>186</v>
      </c>
      <c r="N67" s="227">
        <f>N63/N66</f>
        <v>1.6428571428571428</v>
      </c>
      <c r="O67" s="56" t="s">
        <v>185</v>
      </c>
    </row>
    <row r="68" spans="2:49" ht="16.8" thickBot="1">
      <c r="B68" s="58"/>
      <c r="C68" s="73" t="s">
        <v>105</v>
      </c>
      <c r="D68" s="60"/>
      <c r="E68" s="61">
        <v>0</v>
      </c>
      <c r="F68" s="68"/>
      <c r="G68" s="69">
        <v>0</v>
      </c>
      <c r="H68" s="84"/>
      <c r="I68" s="84"/>
      <c r="J68" s="62"/>
      <c r="L68" s="284" t="s">
        <v>187</v>
      </c>
      <c r="M68" s="82"/>
      <c r="N68" s="82">
        <f>N67</f>
        <v>1.6428571428571428</v>
      </c>
      <c r="O68" s="285" t="s">
        <v>188</v>
      </c>
    </row>
    <row r="69" spans="2:49" ht="16.8" thickBot="1">
      <c r="J69">
        <v>11</v>
      </c>
      <c r="L69" s="58"/>
      <c r="M69" s="60"/>
      <c r="N69" s="60"/>
      <c r="O69" s="34"/>
    </row>
    <row r="70" spans="2:49">
      <c r="B70" s="5">
        <v>11</v>
      </c>
      <c r="C70" s="50" t="s">
        <v>44</v>
      </c>
      <c r="D70" s="51"/>
      <c r="E70" s="52" t="s">
        <v>0</v>
      </c>
      <c r="F70" s="64"/>
      <c r="G70" s="53" t="s">
        <v>6</v>
      </c>
      <c r="H70" s="50" t="s">
        <v>5</v>
      </c>
      <c r="I70" s="6"/>
      <c r="J70" s="19" t="s">
        <v>9</v>
      </c>
    </row>
    <row r="71" spans="2:49" ht="19.8">
      <c r="B71" s="31"/>
      <c r="C71" s="45" t="s">
        <v>106</v>
      </c>
      <c r="D71" s="45">
        <v>6</v>
      </c>
      <c r="E71" s="63"/>
      <c r="F71" s="65"/>
      <c r="G71" s="65"/>
      <c r="H71" s="47">
        <f>E75*G75+E72*G72+E73*G73+E74*G74</f>
        <v>0</v>
      </c>
      <c r="I71" s="18" t="s">
        <v>7</v>
      </c>
      <c r="J71" s="21">
        <f>D71*H71*E1/46618</f>
        <v>0</v>
      </c>
    </row>
    <row r="72" spans="2:49">
      <c r="B72" s="31"/>
      <c r="C72" s="72" t="s">
        <v>136</v>
      </c>
      <c r="D72" s="49"/>
      <c r="E72" s="46">
        <v>0</v>
      </c>
      <c r="F72" s="38"/>
      <c r="G72" s="38">
        <v>1</v>
      </c>
      <c r="H72" s="44"/>
      <c r="I72" s="7"/>
      <c r="J72" s="22"/>
    </row>
    <row r="73" spans="2:49">
      <c r="B73" s="31"/>
      <c r="C73" s="72" t="s">
        <v>137</v>
      </c>
      <c r="D73" s="49"/>
      <c r="E73" s="46">
        <v>0</v>
      </c>
      <c r="F73" s="66"/>
      <c r="G73" s="67">
        <f>G76</f>
        <v>0</v>
      </c>
      <c r="H73" s="83"/>
      <c r="I73" s="85"/>
      <c r="J73" s="26"/>
    </row>
    <row r="74" spans="2:49" ht="16.8" thickBot="1">
      <c r="B74" s="33"/>
      <c r="C74" s="80" t="s">
        <v>45</v>
      </c>
      <c r="D74" s="81"/>
      <c r="E74" s="61">
        <v>1</v>
      </c>
      <c r="F74" s="68"/>
      <c r="G74" s="69">
        <v>0</v>
      </c>
      <c r="H74" s="84"/>
      <c r="I74" s="86"/>
      <c r="J74" s="27"/>
    </row>
    <row r="75" spans="2:49">
      <c r="B75" s="105"/>
      <c r="C75" s="82" t="s">
        <v>46</v>
      </c>
      <c r="D75" s="87">
        <v>0</v>
      </c>
      <c r="E75" s="79"/>
      <c r="F75" s="79"/>
      <c r="G75" s="79"/>
      <c r="H75" s="79"/>
      <c r="I75" s="79"/>
      <c r="J75" s="106"/>
    </row>
    <row r="76" spans="2:49" ht="16.8" thickBot="1">
      <c r="B76" s="105"/>
      <c r="C76" s="82" t="s">
        <v>135</v>
      </c>
      <c r="D76" s="87">
        <v>28</v>
      </c>
      <c r="E76" s="79">
        <f>D77/100</f>
        <v>0</v>
      </c>
      <c r="F76" s="79">
        <f>1/20</f>
        <v>0.05</v>
      </c>
      <c r="G76" s="218">
        <f>F76*D77</f>
        <v>0</v>
      </c>
      <c r="H76" s="219" t="s">
        <v>127</v>
      </c>
      <c r="I76" s="79"/>
      <c r="J76" s="106"/>
      <c r="L76" t="s">
        <v>234</v>
      </c>
      <c r="S76" t="s">
        <v>234</v>
      </c>
      <c r="Z76" t="s">
        <v>235</v>
      </c>
      <c r="AG76" t="s">
        <v>235</v>
      </c>
    </row>
    <row r="77" spans="2:49" ht="16.8" thickBot="1">
      <c r="B77" s="107"/>
      <c r="C77" s="108" t="s">
        <v>47</v>
      </c>
      <c r="D77" s="216">
        <f>D75/D76*100</f>
        <v>0</v>
      </c>
      <c r="E77" s="109"/>
      <c r="F77" s="109"/>
      <c r="G77" s="109"/>
      <c r="H77" s="109"/>
      <c r="I77" s="109"/>
      <c r="J77" s="110"/>
      <c r="L77" s="328" t="s">
        <v>223</v>
      </c>
      <c r="M77" s="149"/>
      <c r="N77" s="149"/>
      <c r="O77" s="149"/>
      <c r="P77" s="149"/>
      <c r="Q77" s="171"/>
      <c r="R77" s="1"/>
      <c r="S77" s="328" t="s">
        <v>224</v>
      </c>
      <c r="T77" s="149"/>
      <c r="U77" s="149"/>
      <c r="V77" s="149"/>
      <c r="W77" s="149"/>
      <c r="X77" s="238"/>
      <c r="Z77" s="328" t="s">
        <v>223</v>
      </c>
      <c r="AA77" s="149"/>
      <c r="AB77" s="149"/>
      <c r="AC77" s="149"/>
      <c r="AD77" s="149"/>
      <c r="AE77" s="171"/>
      <c r="AF77" s="1"/>
      <c r="AG77" s="328" t="s">
        <v>224</v>
      </c>
      <c r="AH77" s="149"/>
      <c r="AI77" s="149"/>
      <c r="AJ77" s="149"/>
      <c r="AK77" s="149"/>
      <c r="AL77" s="238"/>
    </row>
    <row r="78" spans="2:49" ht="16.8" thickBot="1">
      <c r="J78">
        <v>12</v>
      </c>
      <c r="L78" s="31" t="s">
        <v>225</v>
      </c>
      <c r="M78" s="2"/>
      <c r="N78" s="2"/>
      <c r="O78" s="2"/>
      <c r="P78" s="2"/>
      <c r="Q78" s="35"/>
      <c r="R78" s="1"/>
      <c r="S78" s="31" t="s">
        <v>225</v>
      </c>
      <c r="T78" s="2"/>
      <c r="U78" s="2"/>
      <c r="V78" s="2"/>
      <c r="W78" s="2"/>
      <c r="X78" s="35"/>
      <c r="Z78" s="31" t="s">
        <v>225</v>
      </c>
      <c r="AA78" s="2"/>
      <c r="AB78" s="2"/>
      <c r="AC78" s="2"/>
      <c r="AD78" s="2"/>
      <c r="AE78" s="35"/>
      <c r="AF78" s="1"/>
      <c r="AG78" s="31" t="s">
        <v>225</v>
      </c>
      <c r="AH78" s="2"/>
      <c r="AI78" s="2"/>
      <c r="AJ78" s="2"/>
      <c r="AK78" s="2"/>
      <c r="AL78" s="35"/>
    </row>
    <row r="79" spans="2:49" ht="16.8" thickBot="1">
      <c r="B79" s="91">
        <v>12</v>
      </c>
      <c r="C79" s="92" t="s">
        <v>247</v>
      </c>
      <c r="D79" s="93"/>
      <c r="E79" s="94" t="s">
        <v>0</v>
      </c>
      <c r="F79" s="95"/>
      <c r="G79" s="96" t="s">
        <v>6</v>
      </c>
      <c r="H79" s="92" t="s">
        <v>5</v>
      </c>
      <c r="I79" s="97"/>
      <c r="J79" s="98" t="s">
        <v>9</v>
      </c>
      <c r="L79" s="31"/>
      <c r="M79" s="227" t="s">
        <v>226</v>
      </c>
      <c r="N79" s="227" t="s">
        <v>227</v>
      </c>
      <c r="O79" s="38" t="s">
        <v>228</v>
      </c>
      <c r="P79" s="2" t="s">
        <v>220</v>
      </c>
      <c r="Q79" s="35"/>
      <c r="R79" s="1"/>
      <c r="S79" s="31"/>
      <c r="T79" s="227" t="s">
        <v>226</v>
      </c>
      <c r="U79" s="227" t="s">
        <v>227</v>
      </c>
      <c r="V79" s="38" t="s">
        <v>228</v>
      </c>
      <c r="W79" s="2" t="s">
        <v>220</v>
      </c>
      <c r="X79" s="35"/>
      <c r="Z79" s="31"/>
      <c r="AA79" s="227" t="s">
        <v>226</v>
      </c>
      <c r="AB79" s="227" t="s">
        <v>227</v>
      </c>
      <c r="AC79" s="38" t="s">
        <v>228</v>
      </c>
      <c r="AD79" s="2" t="s">
        <v>220</v>
      </c>
      <c r="AE79" s="35"/>
      <c r="AF79" s="1"/>
      <c r="AG79" s="31"/>
      <c r="AH79" s="227" t="s">
        <v>226</v>
      </c>
      <c r="AI79" s="227" t="s">
        <v>227</v>
      </c>
      <c r="AJ79" s="38" t="s">
        <v>228</v>
      </c>
      <c r="AK79" s="2" t="s">
        <v>220</v>
      </c>
      <c r="AL79" s="35"/>
    </row>
    <row r="80" spans="2:49" ht="19.8">
      <c r="B80" s="99"/>
      <c r="C80" s="100" t="s">
        <v>8</v>
      </c>
      <c r="D80" s="100">
        <v>8</v>
      </c>
      <c r="E80" s="101"/>
      <c r="F80" s="64"/>
      <c r="G80" s="64"/>
      <c r="H80" s="102">
        <f>E84*G84+E81*G81+E82*G82+E83*G83</f>
        <v>0.45845272206303711</v>
      </c>
      <c r="I80" s="103" t="s">
        <v>7</v>
      </c>
      <c r="J80" s="179">
        <f>D80*H80*E1/46618</f>
        <v>3.6676217765042969</v>
      </c>
      <c r="L80" s="31" t="s">
        <v>229</v>
      </c>
      <c r="M80" s="249">
        <v>0.8</v>
      </c>
      <c r="N80" s="249">
        <v>0.9</v>
      </c>
      <c r="O80" s="320">
        <v>20</v>
      </c>
      <c r="P80" s="38">
        <f>M80*N80*O80</f>
        <v>14.400000000000002</v>
      </c>
      <c r="Q80" s="252"/>
      <c r="R80" s="1"/>
      <c r="S80" s="31" t="s">
        <v>229</v>
      </c>
      <c r="T80" s="249">
        <v>0.8</v>
      </c>
      <c r="U80" s="249">
        <v>0.9</v>
      </c>
      <c r="V80" s="320">
        <v>20</v>
      </c>
      <c r="W80" s="38">
        <f>T80*U80*V80</f>
        <v>14.400000000000002</v>
      </c>
      <c r="X80" s="252"/>
      <c r="Z80" s="31" t="s">
        <v>229</v>
      </c>
      <c r="AA80" s="249">
        <v>0.8</v>
      </c>
      <c r="AB80" s="249">
        <v>0.9</v>
      </c>
      <c r="AC80" s="320">
        <v>20</v>
      </c>
      <c r="AD80" s="38">
        <f>AA80*AB80*AC80</f>
        <v>14.400000000000002</v>
      </c>
      <c r="AE80" s="252"/>
      <c r="AF80" s="1"/>
      <c r="AG80" s="31" t="s">
        <v>229</v>
      </c>
      <c r="AH80" s="249">
        <v>0.8</v>
      </c>
      <c r="AI80" s="249">
        <v>0.9</v>
      </c>
      <c r="AJ80" s="320">
        <v>20</v>
      </c>
      <c r="AK80" s="38">
        <f>AH80*AI80*AJ80</f>
        <v>14.400000000000002</v>
      </c>
      <c r="AL80" s="252"/>
      <c r="AS80" s="99"/>
      <c r="AT80" s="149" t="s">
        <v>161</v>
      </c>
      <c r="AU80" s="149" t="s">
        <v>159</v>
      </c>
      <c r="AV80" s="149" t="s">
        <v>160</v>
      </c>
      <c r="AW80" s="171"/>
    </row>
    <row r="81" spans="2:50">
      <c r="B81" s="31"/>
      <c r="C81" s="72" t="s">
        <v>173</v>
      </c>
      <c r="D81" s="49"/>
      <c r="E81" s="46">
        <v>0</v>
      </c>
      <c r="F81" s="45">
        <v>0</v>
      </c>
      <c r="G81" s="45">
        <v>0</v>
      </c>
      <c r="H81" s="44"/>
      <c r="I81" s="44"/>
      <c r="J81" s="56"/>
      <c r="L81" s="31"/>
      <c r="M81" s="249">
        <v>0</v>
      </c>
      <c r="N81" s="249">
        <v>0</v>
      </c>
      <c r="O81" s="320">
        <v>0</v>
      </c>
      <c r="P81" s="38">
        <f t="shared" ref="P81:P84" si="0">M81*N81*O81</f>
        <v>0</v>
      </c>
      <c r="Q81" s="35"/>
      <c r="R81" s="1"/>
      <c r="S81" s="31"/>
      <c r="T81" s="249">
        <v>0</v>
      </c>
      <c r="U81" s="249">
        <v>0</v>
      </c>
      <c r="V81" s="320">
        <v>0</v>
      </c>
      <c r="W81" s="38">
        <f t="shared" ref="W81:W84" si="1">T81*U81*V81</f>
        <v>0</v>
      </c>
      <c r="X81" s="35"/>
      <c r="Z81" s="31"/>
      <c r="AA81" s="249">
        <v>0</v>
      </c>
      <c r="AB81" s="249">
        <v>0</v>
      </c>
      <c r="AC81" s="320">
        <v>0</v>
      </c>
      <c r="AD81" s="38">
        <f t="shared" ref="AD81:AD84" si="2">AA81*AB81*AC81</f>
        <v>0</v>
      </c>
      <c r="AE81" s="35"/>
      <c r="AF81" s="1"/>
      <c r="AG81" s="31"/>
      <c r="AH81" s="249">
        <v>0</v>
      </c>
      <c r="AI81" s="249">
        <v>0</v>
      </c>
      <c r="AJ81" s="320">
        <v>0</v>
      </c>
      <c r="AK81" s="38">
        <f t="shared" ref="AK81:AK84" si="3">AH81*AI81*AJ81</f>
        <v>0</v>
      </c>
      <c r="AL81" s="35"/>
      <c r="AS81" s="31" t="s">
        <v>162</v>
      </c>
      <c r="AT81" s="250">
        <v>0.12</v>
      </c>
      <c r="AU81" s="250">
        <v>8</v>
      </c>
      <c r="AV81" s="250">
        <v>4</v>
      </c>
      <c r="AW81" s="257">
        <f>AV81*AU81*AT81</f>
        <v>3.84</v>
      </c>
    </row>
    <row r="82" spans="2:50">
      <c r="B82" s="31"/>
      <c r="C82" s="72" t="s">
        <v>172</v>
      </c>
      <c r="D82" s="49"/>
      <c r="E82" s="46">
        <v>1</v>
      </c>
      <c r="F82" s="104">
        <f>1-(D87-0.8)*5</f>
        <v>0.45845272206303711</v>
      </c>
      <c r="G82" s="278">
        <f>F82</f>
        <v>0.45845272206303711</v>
      </c>
      <c r="H82" s="46" t="s">
        <v>99</v>
      </c>
      <c r="I82" s="83"/>
      <c r="J82" s="57"/>
      <c r="L82" s="31"/>
      <c r="M82" s="249">
        <v>0</v>
      </c>
      <c r="N82" s="249">
        <v>0</v>
      </c>
      <c r="O82" s="320">
        <v>0</v>
      </c>
      <c r="P82" s="38">
        <f t="shared" si="0"/>
        <v>0</v>
      </c>
      <c r="Q82" s="35"/>
      <c r="R82" s="1"/>
      <c r="S82" s="31"/>
      <c r="T82" s="249">
        <v>0</v>
      </c>
      <c r="U82" s="249">
        <v>0</v>
      </c>
      <c r="V82" s="320">
        <v>0</v>
      </c>
      <c r="W82" s="38">
        <f t="shared" si="1"/>
        <v>0</v>
      </c>
      <c r="X82" s="32"/>
      <c r="Z82" s="31"/>
      <c r="AA82" s="249">
        <v>0</v>
      </c>
      <c r="AB82" s="249">
        <v>0</v>
      </c>
      <c r="AC82" s="320">
        <v>0</v>
      </c>
      <c r="AD82" s="38">
        <f t="shared" si="2"/>
        <v>0</v>
      </c>
      <c r="AE82" s="35"/>
      <c r="AF82" s="1"/>
      <c r="AG82" s="31"/>
      <c r="AH82" s="249">
        <v>0</v>
      </c>
      <c r="AI82" s="249">
        <v>0</v>
      </c>
      <c r="AJ82" s="320">
        <v>0</v>
      </c>
      <c r="AK82" s="38">
        <f t="shared" si="3"/>
        <v>0</v>
      </c>
      <c r="AL82" s="32"/>
      <c r="AS82" s="31" t="s">
        <v>163</v>
      </c>
      <c r="AT82" s="250">
        <v>0</v>
      </c>
      <c r="AU82" s="250">
        <v>0</v>
      </c>
      <c r="AV82" s="250">
        <v>0</v>
      </c>
      <c r="AW82" s="257">
        <f>AV82*AU82*AT82</f>
        <v>0</v>
      </c>
    </row>
    <row r="83" spans="2:50" ht="20.399999999999999" thickBot="1">
      <c r="B83" s="31"/>
      <c r="C83" s="72" t="s">
        <v>171</v>
      </c>
      <c r="D83" s="90"/>
      <c r="E83" s="46">
        <v>0</v>
      </c>
      <c r="F83" s="104">
        <v>1</v>
      </c>
      <c r="G83" s="277">
        <v>1</v>
      </c>
      <c r="H83" s="83"/>
      <c r="I83" s="83"/>
      <c r="J83" s="57"/>
      <c r="L83" s="31"/>
      <c r="M83" s="249">
        <v>0</v>
      </c>
      <c r="N83" s="249">
        <v>0</v>
      </c>
      <c r="O83" s="320">
        <v>0</v>
      </c>
      <c r="P83" s="38">
        <f t="shared" si="0"/>
        <v>0</v>
      </c>
      <c r="Q83" s="35"/>
      <c r="R83" s="1"/>
      <c r="S83" s="31"/>
      <c r="T83" s="249">
        <v>0</v>
      </c>
      <c r="U83" s="249">
        <v>0</v>
      </c>
      <c r="V83" s="320">
        <v>0</v>
      </c>
      <c r="W83" s="38">
        <f t="shared" si="1"/>
        <v>0</v>
      </c>
      <c r="X83" s="32"/>
      <c r="Z83" s="31"/>
      <c r="AA83" s="249">
        <v>0</v>
      </c>
      <c r="AB83" s="249">
        <v>0</v>
      </c>
      <c r="AC83" s="320">
        <v>0</v>
      </c>
      <c r="AD83" s="38">
        <f t="shared" si="2"/>
        <v>0</v>
      </c>
      <c r="AE83" s="35"/>
      <c r="AF83" s="1"/>
      <c r="AG83" s="31"/>
      <c r="AH83" s="249">
        <v>0</v>
      </c>
      <c r="AI83" s="249">
        <v>0</v>
      </c>
      <c r="AJ83" s="320">
        <v>0</v>
      </c>
      <c r="AK83" s="38">
        <f t="shared" si="3"/>
        <v>0</v>
      </c>
      <c r="AL83" s="32"/>
      <c r="AS83" s="33" t="s">
        <v>165</v>
      </c>
      <c r="AT83" s="250">
        <v>0.12</v>
      </c>
      <c r="AU83" s="250">
        <v>26</v>
      </c>
      <c r="AV83" s="250">
        <v>1</v>
      </c>
      <c r="AW83" s="257">
        <f>AV83*AU83*AT83</f>
        <v>3.12</v>
      </c>
      <c r="AX83" s="260">
        <f>AW81+AW82+AW83</f>
        <v>6.96</v>
      </c>
    </row>
    <row r="84" spans="2:50" ht="20.399999999999999" thickBot="1">
      <c r="B84" s="220"/>
      <c r="C84" s="221" t="s">
        <v>51</v>
      </c>
      <c r="D84" s="81"/>
      <c r="E84" s="222">
        <v>0</v>
      </c>
      <c r="F84" s="223">
        <v>1</v>
      </c>
      <c r="G84" s="223">
        <v>1</v>
      </c>
      <c r="H84" s="81"/>
      <c r="I84" s="81"/>
      <c r="J84" s="131"/>
      <c r="L84" s="31"/>
      <c r="M84" s="249">
        <v>0</v>
      </c>
      <c r="N84" s="249">
        <v>0</v>
      </c>
      <c r="O84" s="320">
        <v>0</v>
      </c>
      <c r="P84" s="38">
        <f t="shared" si="0"/>
        <v>0</v>
      </c>
      <c r="Q84" s="35"/>
      <c r="R84" s="1"/>
      <c r="S84" s="31"/>
      <c r="T84" s="249">
        <v>0</v>
      </c>
      <c r="U84" s="249">
        <v>0</v>
      </c>
      <c r="V84" s="320">
        <v>0</v>
      </c>
      <c r="W84" s="38">
        <f t="shared" si="1"/>
        <v>0</v>
      </c>
      <c r="X84" s="32"/>
      <c r="Z84" s="31"/>
      <c r="AA84" s="249">
        <v>0</v>
      </c>
      <c r="AB84" s="249">
        <v>0</v>
      </c>
      <c r="AC84" s="320">
        <v>0</v>
      </c>
      <c r="AD84" s="38">
        <f t="shared" si="2"/>
        <v>0</v>
      </c>
      <c r="AE84" s="35"/>
      <c r="AF84" s="1"/>
      <c r="AG84" s="31"/>
      <c r="AH84" s="249">
        <v>0</v>
      </c>
      <c r="AI84" s="249">
        <v>0</v>
      </c>
      <c r="AJ84" s="320">
        <v>0</v>
      </c>
      <c r="AK84" s="38">
        <f t="shared" si="3"/>
        <v>0</v>
      </c>
      <c r="AL84" s="32"/>
      <c r="AS84" s="105"/>
      <c r="AT84" s="79" t="s">
        <v>147</v>
      </c>
      <c r="AU84" s="79" t="s">
        <v>159</v>
      </c>
      <c r="AV84" s="79" t="s">
        <v>160</v>
      </c>
      <c r="AW84" s="106"/>
      <c r="AX84" s="260"/>
    </row>
    <row r="85" spans="2:50" ht="19.8">
      <c r="B85" s="232"/>
      <c r="C85" s="233" t="s">
        <v>48</v>
      </c>
      <c r="D85" s="234"/>
      <c r="E85" s="235" t="s">
        <v>90</v>
      </c>
      <c r="F85" s="236">
        <v>2.94</v>
      </c>
      <c r="G85" s="237">
        <f>F85*J91</f>
        <v>2.3519999999999999</v>
      </c>
      <c r="H85" s="129"/>
      <c r="I85" s="129"/>
      <c r="J85" s="238"/>
      <c r="L85" s="329" t="s">
        <v>230</v>
      </c>
      <c r="M85" s="169"/>
      <c r="N85" s="169"/>
      <c r="O85" s="169"/>
      <c r="P85" s="169">
        <f>P80+P81+P82+P83+P84</f>
        <v>14.400000000000002</v>
      </c>
      <c r="Q85" s="35"/>
      <c r="R85" s="1"/>
      <c r="S85" s="329" t="s">
        <v>219</v>
      </c>
      <c r="T85" s="169"/>
      <c r="U85" s="169"/>
      <c r="V85" s="169"/>
      <c r="W85" s="169">
        <f>W80+W81+W82+W83+W84</f>
        <v>14.400000000000002</v>
      </c>
      <c r="X85" s="32"/>
      <c r="Z85" s="329" t="s">
        <v>230</v>
      </c>
      <c r="AA85" s="169"/>
      <c r="AB85" s="169"/>
      <c r="AC85" s="169"/>
      <c r="AD85" s="169">
        <f>AD80+AD81+AD82+AD83+AD84</f>
        <v>14.400000000000002</v>
      </c>
      <c r="AE85" s="325"/>
      <c r="AF85" s="1"/>
      <c r="AG85" s="329" t="s">
        <v>230</v>
      </c>
      <c r="AH85" s="169"/>
      <c r="AI85" s="169"/>
      <c r="AJ85" s="169"/>
      <c r="AK85" s="169">
        <f>AK80+AK81+AK82+AK83+AK84</f>
        <v>14.400000000000002</v>
      </c>
      <c r="AL85" s="32"/>
      <c r="AS85" s="116" t="s">
        <v>164</v>
      </c>
      <c r="AT85" s="258">
        <v>0.8</v>
      </c>
      <c r="AU85" s="258">
        <v>0.8</v>
      </c>
      <c r="AV85" s="258">
        <v>16</v>
      </c>
      <c r="AW85" s="259">
        <f>AV85*AU85*AT85</f>
        <v>10.240000000000002</v>
      </c>
      <c r="AX85" s="260"/>
    </row>
    <row r="86" spans="2:50" ht="20.399999999999999" thickBot="1">
      <c r="B86" s="116"/>
      <c r="C86" s="82" t="s">
        <v>49</v>
      </c>
      <c r="D86" s="87"/>
      <c r="E86" s="224" t="s">
        <v>93</v>
      </c>
      <c r="F86" s="225">
        <v>0</v>
      </c>
      <c r="G86" s="226">
        <f>F86*J92</f>
        <v>0</v>
      </c>
      <c r="H86" s="90"/>
      <c r="I86" s="90">
        <f>D90-80</f>
        <v>-80</v>
      </c>
      <c r="J86" s="239"/>
      <c r="L86" s="31"/>
      <c r="M86" s="2"/>
      <c r="N86" s="2"/>
      <c r="O86" s="2"/>
      <c r="P86" s="2"/>
      <c r="Q86" s="35"/>
      <c r="R86" s="1"/>
      <c r="S86" s="31"/>
      <c r="T86" s="2"/>
      <c r="U86" s="2"/>
      <c r="V86" s="2"/>
      <c r="W86" s="2"/>
      <c r="X86" s="32"/>
      <c r="Z86" s="31"/>
      <c r="AA86" s="2"/>
      <c r="AB86" s="2"/>
      <c r="AC86" s="2"/>
      <c r="AD86" s="2"/>
      <c r="AE86" s="35"/>
      <c r="AF86" s="1"/>
      <c r="AG86" s="31"/>
      <c r="AH86" s="2"/>
      <c r="AI86" s="2"/>
      <c r="AJ86" s="2"/>
      <c r="AK86" s="2"/>
      <c r="AL86" s="32"/>
      <c r="AS86" s="58"/>
      <c r="AT86" s="60"/>
      <c r="AU86" s="60"/>
      <c r="AV86" s="60"/>
      <c r="AW86" s="34"/>
      <c r="AX86" s="260"/>
    </row>
    <row r="87" spans="2:50" ht="20.399999999999999" thickBot="1">
      <c r="B87" s="116"/>
      <c r="C87" s="175" t="s">
        <v>174</v>
      </c>
      <c r="D87" s="339">
        <f>G90/G87</f>
        <v>0.90830945558739262</v>
      </c>
      <c r="E87" s="227" t="s">
        <v>111</v>
      </c>
      <c r="F87" s="228" t="s">
        <v>89</v>
      </c>
      <c r="G87" s="226">
        <f>G85+G86+F91</f>
        <v>16.751999999999999</v>
      </c>
      <c r="H87" s="90"/>
      <c r="I87" s="90">
        <f>I86/20</f>
        <v>-4</v>
      </c>
      <c r="J87" s="32">
        <f>D90-80</f>
        <v>-80</v>
      </c>
      <c r="L87" s="31" t="s">
        <v>231</v>
      </c>
      <c r="M87" s="317" t="s">
        <v>232</v>
      </c>
      <c r="N87" s="318" t="s">
        <v>218</v>
      </c>
      <c r="O87" s="38" t="s">
        <v>228</v>
      </c>
      <c r="P87" s="2" t="s">
        <v>220</v>
      </c>
      <c r="Q87" s="35"/>
      <c r="R87" s="1"/>
      <c r="S87" s="31" t="s">
        <v>231</v>
      </c>
      <c r="T87" s="317" t="s">
        <v>232</v>
      </c>
      <c r="U87" s="318" t="s">
        <v>218</v>
      </c>
      <c r="V87" s="38" t="s">
        <v>228</v>
      </c>
      <c r="W87" s="2" t="s">
        <v>220</v>
      </c>
      <c r="X87" s="35"/>
      <c r="Z87" s="31" t="s">
        <v>231</v>
      </c>
      <c r="AA87" s="317" t="s">
        <v>232</v>
      </c>
      <c r="AB87" s="318" t="s">
        <v>218</v>
      </c>
      <c r="AC87" s="38" t="s">
        <v>228</v>
      </c>
      <c r="AD87" s="2" t="s">
        <v>220</v>
      </c>
      <c r="AE87" s="35"/>
      <c r="AF87" s="1"/>
      <c r="AG87" s="31" t="s">
        <v>231</v>
      </c>
      <c r="AH87" s="317" t="s">
        <v>232</v>
      </c>
      <c r="AI87" s="318" t="s">
        <v>218</v>
      </c>
      <c r="AJ87" s="38" t="s">
        <v>228</v>
      </c>
      <c r="AK87" s="2" t="s">
        <v>220</v>
      </c>
      <c r="AL87" s="35"/>
      <c r="AX87" s="260"/>
    </row>
    <row r="88" spans="2:50" ht="19.8">
      <c r="B88" s="116"/>
      <c r="C88" s="161"/>
      <c r="D88" s="229">
        <f>G87/G90*100</f>
        <v>110.09463722397474</v>
      </c>
      <c r="E88" s="230" t="s">
        <v>91</v>
      </c>
      <c r="F88" s="88">
        <v>1.02</v>
      </c>
      <c r="G88" s="231">
        <f>F88*J91</f>
        <v>0.81600000000000006</v>
      </c>
      <c r="H88" s="90"/>
      <c r="I88" s="90">
        <f>1-I87</f>
        <v>5</v>
      </c>
      <c r="J88" s="32" t="s">
        <v>98</v>
      </c>
      <c r="L88" s="31"/>
      <c r="M88" s="319">
        <v>0.12</v>
      </c>
      <c r="N88" s="225">
        <v>9.1999999999999993</v>
      </c>
      <c r="O88" s="66">
        <v>8</v>
      </c>
      <c r="P88" s="2">
        <f>M88*N88*O88</f>
        <v>8.831999999999999</v>
      </c>
      <c r="Q88" s="35"/>
      <c r="R88" s="1"/>
      <c r="S88" s="31"/>
      <c r="T88" s="319">
        <v>0.12</v>
      </c>
      <c r="U88" s="225">
        <v>7.5</v>
      </c>
      <c r="V88" s="66">
        <v>6</v>
      </c>
      <c r="W88" s="2">
        <f>T88*U88*V88</f>
        <v>5.3999999999999995</v>
      </c>
      <c r="X88" s="35"/>
      <c r="Z88" s="31"/>
      <c r="AA88" s="319">
        <v>0.12</v>
      </c>
      <c r="AB88" s="225">
        <v>1</v>
      </c>
      <c r="AC88" s="66">
        <v>4</v>
      </c>
      <c r="AD88" s="2">
        <f>AA88*AB88*AC88</f>
        <v>0.48</v>
      </c>
      <c r="AE88" s="35"/>
      <c r="AF88" s="1"/>
      <c r="AG88" s="31"/>
      <c r="AH88" s="319">
        <v>0.12</v>
      </c>
      <c r="AI88" s="225">
        <v>0.5</v>
      </c>
      <c r="AJ88" s="66">
        <v>16</v>
      </c>
      <c r="AK88" s="2">
        <f>AH88*AI88*AJ88</f>
        <v>0.96</v>
      </c>
      <c r="AL88" s="35"/>
      <c r="AS88" s="99"/>
      <c r="AT88" s="149" t="s">
        <v>161</v>
      </c>
      <c r="AU88" s="149" t="s">
        <v>159</v>
      </c>
      <c r="AV88" s="149" t="s">
        <v>160</v>
      </c>
      <c r="AW88" s="171"/>
      <c r="AX88" s="260"/>
    </row>
    <row r="89" spans="2:50" ht="19.8">
      <c r="B89" s="116"/>
      <c r="C89" s="90">
        <f>D90/100</f>
        <v>0</v>
      </c>
      <c r="D89" s="89" t="s">
        <v>50</v>
      </c>
      <c r="E89" s="230" t="s">
        <v>92</v>
      </c>
      <c r="F89" s="88">
        <v>0</v>
      </c>
      <c r="G89" s="231">
        <f>F89*J92</f>
        <v>0</v>
      </c>
      <c r="H89" s="90"/>
      <c r="I89" s="90"/>
      <c r="J89" s="32">
        <f>J87*0.0165+0.33</f>
        <v>-0.99</v>
      </c>
      <c r="L89" s="31"/>
      <c r="M89" s="225">
        <v>0</v>
      </c>
      <c r="N89" s="225">
        <v>0</v>
      </c>
      <c r="O89" s="320">
        <v>0</v>
      </c>
      <c r="P89" s="2">
        <f t="shared" ref="P89:P94" si="4">M89*N89*O89</f>
        <v>0</v>
      </c>
      <c r="Q89" s="35"/>
      <c r="R89" s="1"/>
      <c r="S89" s="31"/>
      <c r="T89" s="225">
        <v>0</v>
      </c>
      <c r="U89" s="225">
        <v>0</v>
      </c>
      <c r="V89" s="320">
        <v>0</v>
      </c>
      <c r="W89" s="2">
        <f t="shared" ref="W89:W94" si="5">T89*U89*V89</f>
        <v>0</v>
      </c>
      <c r="X89" s="35"/>
      <c r="Z89" s="31"/>
      <c r="AA89" s="225">
        <v>0.15</v>
      </c>
      <c r="AB89" s="225">
        <v>1.8</v>
      </c>
      <c r="AC89" s="320">
        <v>2</v>
      </c>
      <c r="AD89" s="2">
        <f t="shared" ref="AD89:AD94" si="6">AA89*AB89*AC89</f>
        <v>0.54</v>
      </c>
      <c r="AE89" s="35"/>
      <c r="AF89" s="1"/>
      <c r="AG89" s="31"/>
      <c r="AH89" s="225">
        <v>0.12</v>
      </c>
      <c r="AI89" s="225">
        <v>0.4</v>
      </c>
      <c r="AJ89" s="320">
        <v>8</v>
      </c>
      <c r="AK89" s="2">
        <f t="shared" ref="AK89:AK94" si="7">AH89*AI89*AJ89</f>
        <v>0.38400000000000001</v>
      </c>
      <c r="AL89" s="35"/>
      <c r="AS89" s="31" t="s">
        <v>162</v>
      </c>
      <c r="AT89" s="250">
        <v>0.12</v>
      </c>
      <c r="AU89" s="250">
        <v>8</v>
      </c>
      <c r="AV89" s="250">
        <v>7</v>
      </c>
      <c r="AW89" s="257">
        <f>AV89*AU89*AT89</f>
        <v>6.72</v>
      </c>
      <c r="AX89" s="260"/>
    </row>
    <row r="90" spans="2:50" ht="20.399999999999999" thickBot="1">
      <c r="B90" s="116"/>
      <c r="C90" s="90"/>
      <c r="D90" s="276"/>
      <c r="E90" s="227" t="s">
        <v>112</v>
      </c>
      <c r="F90" s="228" t="s">
        <v>89</v>
      </c>
      <c r="G90" s="231">
        <f>G88+G89+F92</f>
        <v>15.216000000000001</v>
      </c>
      <c r="H90" s="90"/>
      <c r="I90" s="81"/>
      <c r="J90" s="131"/>
      <c r="L90" s="31"/>
      <c r="M90" s="225">
        <v>0</v>
      </c>
      <c r="N90" s="225">
        <v>0</v>
      </c>
      <c r="O90" s="320">
        <v>0</v>
      </c>
      <c r="P90" s="2">
        <f t="shared" si="4"/>
        <v>0</v>
      </c>
      <c r="Q90" s="35"/>
      <c r="R90" s="1"/>
      <c r="S90" s="31"/>
      <c r="T90" s="225">
        <v>0</v>
      </c>
      <c r="U90" s="225">
        <v>0</v>
      </c>
      <c r="V90" s="320">
        <v>0</v>
      </c>
      <c r="W90" s="2">
        <f t="shared" si="5"/>
        <v>0</v>
      </c>
      <c r="X90" s="35"/>
      <c r="Z90" s="31"/>
      <c r="AA90" s="225">
        <v>0</v>
      </c>
      <c r="AB90" s="225">
        <v>0</v>
      </c>
      <c r="AC90" s="320">
        <v>0</v>
      </c>
      <c r="AD90" s="2">
        <f t="shared" si="6"/>
        <v>0</v>
      </c>
      <c r="AE90" s="35"/>
      <c r="AF90" s="1"/>
      <c r="AG90" s="31"/>
      <c r="AH90" s="225">
        <v>0.12</v>
      </c>
      <c r="AI90" s="225">
        <v>0.3</v>
      </c>
      <c r="AJ90" s="320">
        <v>16</v>
      </c>
      <c r="AK90" s="2">
        <f t="shared" si="7"/>
        <v>0.57599999999999996</v>
      </c>
      <c r="AL90" s="35"/>
      <c r="AS90" s="31" t="s">
        <v>163</v>
      </c>
      <c r="AT90" s="250">
        <v>0</v>
      </c>
      <c r="AU90" s="250">
        <v>0</v>
      </c>
      <c r="AV90" s="250">
        <v>0</v>
      </c>
      <c r="AW90" s="257">
        <f>AV90*AU90*AT90</f>
        <v>0</v>
      </c>
      <c r="AX90" s="260"/>
    </row>
    <row r="91" spans="2:50" ht="20.399999999999999" thickBot="1">
      <c r="B91" s="116"/>
      <c r="C91" s="90"/>
      <c r="D91" s="275"/>
      <c r="E91" s="224" t="s">
        <v>138</v>
      </c>
      <c r="F91" s="240">
        <v>14.4</v>
      </c>
      <c r="G91" s="90"/>
      <c r="H91" s="243"/>
      <c r="I91" s="245" t="s">
        <v>175</v>
      </c>
      <c r="J91" s="246">
        <v>0.8</v>
      </c>
      <c r="L91" s="31"/>
      <c r="M91" s="225">
        <v>0</v>
      </c>
      <c r="N91" s="225">
        <v>0</v>
      </c>
      <c r="O91" s="320">
        <v>0</v>
      </c>
      <c r="P91" s="2">
        <f t="shared" si="4"/>
        <v>0</v>
      </c>
      <c r="Q91" s="35"/>
      <c r="R91" s="1"/>
      <c r="S91" s="31"/>
      <c r="T91" s="225">
        <v>0</v>
      </c>
      <c r="U91" s="225">
        <v>0</v>
      </c>
      <c r="V91" s="320">
        <v>0</v>
      </c>
      <c r="W91" s="2">
        <f t="shared" si="5"/>
        <v>0</v>
      </c>
      <c r="X91" s="35"/>
      <c r="Z91" s="31"/>
      <c r="AA91" s="225">
        <v>0</v>
      </c>
      <c r="AB91" s="225">
        <v>0</v>
      </c>
      <c r="AC91" s="320">
        <v>0</v>
      </c>
      <c r="AD91" s="2">
        <f t="shared" si="6"/>
        <v>0</v>
      </c>
      <c r="AE91" s="35"/>
      <c r="AF91" s="1"/>
      <c r="AG91" s="31"/>
      <c r="AH91" s="225">
        <v>0.12</v>
      </c>
      <c r="AI91" s="225">
        <v>1</v>
      </c>
      <c r="AJ91" s="320">
        <v>4</v>
      </c>
      <c r="AK91" s="2">
        <f t="shared" si="7"/>
        <v>0.48</v>
      </c>
      <c r="AL91" s="35"/>
      <c r="AS91" s="33" t="s">
        <v>165</v>
      </c>
      <c r="AT91" s="250">
        <v>0</v>
      </c>
      <c r="AU91" s="250">
        <v>0</v>
      </c>
      <c r="AV91" s="250">
        <v>0</v>
      </c>
      <c r="AW91" s="257">
        <f>AV91*AU91*AT91</f>
        <v>0</v>
      </c>
      <c r="AX91" s="260">
        <f>AW91+AW90+AW89</f>
        <v>6.72</v>
      </c>
    </row>
    <row r="92" spans="2:50" ht="20.399999999999999" thickBot="1">
      <c r="B92" s="58"/>
      <c r="C92" s="60"/>
      <c r="D92" s="60">
        <f>(D87-0.8)*D91+0</f>
        <v>0</v>
      </c>
      <c r="E92" s="242" t="s">
        <v>139</v>
      </c>
      <c r="F92" s="241">
        <v>14.4</v>
      </c>
      <c r="G92" s="60"/>
      <c r="H92" s="244"/>
      <c r="I92" s="247" t="s">
        <v>176</v>
      </c>
      <c r="J92" s="248">
        <v>0.5</v>
      </c>
      <c r="L92" s="31"/>
      <c r="M92" s="225">
        <v>0</v>
      </c>
      <c r="N92" s="225">
        <v>0</v>
      </c>
      <c r="O92" s="320">
        <v>0</v>
      </c>
      <c r="P92" s="2">
        <f t="shared" si="4"/>
        <v>0</v>
      </c>
      <c r="Q92" s="35"/>
      <c r="R92" s="1"/>
      <c r="S92" s="31"/>
      <c r="T92" s="225">
        <v>0</v>
      </c>
      <c r="U92" s="225">
        <v>0</v>
      </c>
      <c r="V92" s="320">
        <v>0</v>
      </c>
      <c r="W92" s="2">
        <f t="shared" si="5"/>
        <v>0</v>
      </c>
      <c r="X92" s="35"/>
      <c r="Z92" s="31"/>
      <c r="AA92" s="225">
        <v>0</v>
      </c>
      <c r="AB92" s="225">
        <v>0</v>
      </c>
      <c r="AC92" s="320">
        <v>0</v>
      </c>
      <c r="AD92" s="2">
        <f t="shared" si="6"/>
        <v>0</v>
      </c>
      <c r="AE92" s="35"/>
      <c r="AF92" s="1"/>
      <c r="AG92" s="31"/>
      <c r="AH92" s="225">
        <v>0.15</v>
      </c>
      <c r="AI92" s="225">
        <v>1.8</v>
      </c>
      <c r="AJ92" s="320">
        <v>2</v>
      </c>
      <c r="AK92" s="2">
        <f t="shared" si="7"/>
        <v>0.54</v>
      </c>
      <c r="AL92" s="35"/>
      <c r="AS92" s="105"/>
      <c r="AT92" s="79" t="s">
        <v>147</v>
      </c>
      <c r="AU92" s="79" t="s">
        <v>159</v>
      </c>
      <c r="AV92" s="79" t="s">
        <v>160</v>
      </c>
      <c r="AW92" s="106"/>
    </row>
    <row r="93" spans="2:50">
      <c r="F93" t="s">
        <v>237</v>
      </c>
      <c r="L93" s="31"/>
      <c r="M93" s="225">
        <v>0</v>
      </c>
      <c r="N93" s="225">
        <v>0</v>
      </c>
      <c r="O93" s="320">
        <v>0</v>
      </c>
      <c r="P93" s="2">
        <f t="shared" si="4"/>
        <v>0</v>
      </c>
      <c r="Q93" s="35"/>
      <c r="R93" s="1"/>
      <c r="S93" s="31"/>
      <c r="T93" s="225">
        <v>0</v>
      </c>
      <c r="U93" s="225">
        <v>0</v>
      </c>
      <c r="V93" s="320">
        <v>0</v>
      </c>
      <c r="W93" s="2">
        <f t="shared" si="5"/>
        <v>0</v>
      </c>
      <c r="X93" s="35"/>
      <c r="Z93" s="31"/>
      <c r="AA93" s="225">
        <v>0</v>
      </c>
      <c r="AB93" s="225">
        <v>0</v>
      </c>
      <c r="AC93" s="320">
        <v>0</v>
      </c>
      <c r="AD93" s="2">
        <f t="shared" si="6"/>
        <v>0</v>
      </c>
      <c r="AE93" s="35"/>
      <c r="AF93" s="1"/>
      <c r="AG93" s="31"/>
      <c r="AH93" s="225">
        <v>0</v>
      </c>
      <c r="AI93" s="225">
        <v>0</v>
      </c>
      <c r="AJ93" s="320">
        <v>0</v>
      </c>
      <c r="AK93" s="2">
        <f t="shared" si="7"/>
        <v>0</v>
      </c>
      <c r="AL93" s="35"/>
      <c r="AS93" s="116" t="s">
        <v>164</v>
      </c>
      <c r="AT93" s="258">
        <v>0.8</v>
      </c>
      <c r="AU93" s="258">
        <v>0.8</v>
      </c>
      <c r="AV93" s="258">
        <v>16</v>
      </c>
      <c r="AW93" s="259">
        <f>AV93*AU93*AT93</f>
        <v>10.240000000000002</v>
      </c>
    </row>
    <row r="94" spans="2:50" ht="16.8" thickBot="1">
      <c r="J94">
        <v>13</v>
      </c>
      <c r="L94" s="31"/>
      <c r="M94" s="225">
        <v>0</v>
      </c>
      <c r="N94" s="225">
        <v>0</v>
      </c>
      <c r="O94" s="320">
        <v>0</v>
      </c>
      <c r="P94" s="2">
        <f t="shared" si="4"/>
        <v>0</v>
      </c>
      <c r="Q94" s="35"/>
      <c r="R94" s="1"/>
      <c r="S94" s="31"/>
      <c r="T94" s="225">
        <v>0</v>
      </c>
      <c r="U94" s="225">
        <v>0</v>
      </c>
      <c r="V94" s="320">
        <v>0</v>
      </c>
      <c r="W94" s="2">
        <f t="shared" si="5"/>
        <v>0</v>
      </c>
      <c r="X94" s="35"/>
      <c r="Z94" s="31"/>
      <c r="AA94" s="225">
        <v>0</v>
      </c>
      <c r="AB94" s="225">
        <v>0</v>
      </c>
      <c r="AC94" s="320">
        <v>0</v>
      </c>
      <c r="AD94" s="2">
        <f t="shared" si="6"/>
        <v>0</v>
      </c>
      <c r="AE94" s="35"/>
      <c r="AF94" s="1"/>
      <c r="AG94" s="31"/>
      <c r="AH94" s="225">
        <v>0</v>
      </c>
      <c r="AI94" s="225">
        <v>0</v>
      </c>
      <c r="AJ94" s="320">
        <v>0</v>
      </c>
      <c r="AK94" s="2">
        <f t="shared" si="7"/>
        <v>0</v>
      </c>
      <c r="AL94" s="35"/>
      <c r="AS94" s="58"/>
      <c r="AT94" s="60"/>
      <c r="AU94" s="60"/>
      <c r="AV94" s="60"/>
      <c r="AW94" s="34"/>
    </row>
    <row r="95" spans="2:50">
      <c r="B95" s="5">
        <v>13</v>
      </c>
      <c r="C95" s="50" t="s">
        <v>52</v>
      </c>
      <c r="D95" s="51"/>
      <c r="E95" s="115" t="s">
        <v>70</v>
      </c>
      <c r="F95" s="53"/>
      <c r="G95" s="53" t="s">
        <v>6</v>
      </c>
      <c r="H95" s="50" t="s">
        <v>5</v>
      </c>
      <c r="I95" s="50"/>
      <c r="J95" s="54" t="s">
        <v>9</v>
      </c>
      <c r="L95" s="329" t="s">
        <v>236</v>
      </c>
      <c r="M95" s="169"/>
      <c r="N95" s="169"/>
      <c r="O95" s="169"/>
      <c r="P95" s="169">
        <f>P88+P89+P90+P91+P92+P93+P94</f>
        <v>8.831999999999999</v>
      </c>
      <c r="Q95" s="35"/>
      <c r="R95" s="1"/>
      <c r="S95" s="329" t="s">
        <v>236</v>
      </c>
      <c r="T95" s="169"/>
      <c r="U95" s="169"/>
      <c r="V95" s="169"/>
      <c r="W95" s="169">
        <f>W88+W89+W90+W91+W92+W93+W94</f>
        <v>5.3999999999999995</v>
      </c>
      <c r="X95" s="32"/>
      <c r="Z95" s="329" t="s">
        <v>236</v>
      </c>
      <c r="AA95" s="169"/>
      <c r="AB95" s="169"/>
      <c r="AC95" s="169"/>
      <c r="AD95" s="169">
        <f>AD88+AD89+AD90+AD91+AD92+AD93+AD94</f>
        <v>1.02</v>
      </c>
      <c r="AE95" s="35"/>
      <c r="AF95" s="1"/>
      <c r="AG95" s="329" t="s">
        <v>236</v>
      </c>
      <c r="AH95" s="169"/>
      <c r="AI95" s="169"/>
      <c r="AJ95" s="169"/>
      <c r="AK95" s="169">
        <f>AK88+AK89+AK90+AK91+AK92+AK93+AK94</f>
        <v>2.94</v>
      </c>
      <c r="AL95" s="32"/>
    </row>
    <row r="96" spans="2:50" ht="19.8">
      <c r="B96" s="31"/>
      <c r="C96" s="45" t="s">
        <v>8</v>
      </c>
      <c r="D96" s="45">
        <v>6</v>
      </c>
      <c r="E96" s="63"/>
      <c r="F96" s="65"/>
      <c r="G96" s="65"/>
      <c r="H96" s="47">
        <f>E96*G96+E97*G97+E98*G98+E99*G99</f>
        <v>0</v>
      </c>
      <c r="I96" s="48" t="s">
        <v>7</v>
      </c>
      <c r="J96" s="55">
        <f>D96*H96*E1/46618</f>
        <v>0</v>
      </c>
      <c r="L96" s="31"/>
      <c r="M96" s="2"/>
      <c r="N96" s="2"/>
      <c r="O96" s="2"/>
      <c r="P96" s="2"/>
      <c r="Q96" s="35"/>
      <c r="R96" s="1"/>
      <c r="S96" s="31"/>
      <c r="T96" s="2"/>
      <c r="U96" s="2"/>
      <c r="V96" s="2"/>
      <c r="W96" s="2"/>
      <c r="X96" s="32"/>
      <c r="Z96" s="31"/>
      <c r="AA96" s="2"/>
      <c r="AB96" s="2"/>
      <c r="AC96" s="2"/>
      <c r="AD96" s="2"/>
      <c r="AE96" s="35"/>
      <c r="AF96" s="1"/>
      <c r="AG96" s="31"/>
      <c r="AH96" s="2"/>
      <c r="AI96" s="2"/>
      <c r="AJ96" s="2"/>
      <c r="AK96" s="2"/>
      <c r="AL96" s="32"/>
    </row>
    <row r="97" spans="2:38">
      <c r="B97" s="31"/>
      <c r="C97" s="72" t="s">
        <v>56</v>
      </c>
      <c r="D97" s="90"/>
      <c r="E97" s="46">
        <v>0</v>
      </c>
      <c r="F97" s="38"/>
      <c r="G97" s="38">
        <v>1</v>
      </c>
      <c r="H97" s="44"/>
      <c r="I97" s="44"/>
      <c r="J97" s="56"/>
      <c r="L97" s="31" t="s">
        <v>233</v>
      </c>
      <c r="M97" s="317" t="s">
        <v>232</v>
      </c>
      <c r="N97" s="318" t="s">
        <v>218</v>
      </c>
      <c r="O97" s="38" t="s">
        <v>228</v>
      </c>
      <c r="P97" s="2" t="s">
        <v>220</v>
      </c>
      <c r="Q97" s="35"/>
      <c r="R97" s="1"/>
      <c r="S97" s="31" t="s">
        <v>233</v>
      </c>
      <c r="T97" s="317" t="s">
        <v>232</v>
      </c>
      <c r="U97" s="318" t="s">
        <v>218</v>
      </c>
      <c r="V97" s="38" t="s">
        <v>228</v>
      </c>
      <c r="W97" s="2" t="s">
        <v>220</v>
      </c>
      <c r="X97" s="35"/>
      <c r="Z97" s="31" t="s">
        <v>233</v>
      </c>
      <c r="AA97" s="317" t="s">
        <v>232</v>
      </c>
      <c r="AB97" s="318" t="s">
        <v>218</v>
      </c>
      <c r="AC97" s="38" t="s">
        <v>228</v>
      </c>
      <c r="AD97" s="2" t="s">
        <v>220</v>
      </c>
      <c r="AE97" s="35"/>
      <c r="AF97" s="1"/>
      <c r="AG97" s="31" t="s">
        <v>233</v>
      </c>
      <c r="AH97" s="317" t="s">
        <v>232</v>
      </c>
      <c r="AI97" s="318" t="s">
        <v>218</v>
      </c>
      <c r="AJ97" s="38" t="s">
        <v>228</v>
      </c>
      <c r="AK97" s="2" t="s">
        <v>220</v>
      </c>
      <c r="AL97" s="35"/>
    </row>
    <row r="98" spans="2:38">
      <c r="B98" s="31"/>
      <c r="C98" s="72" t="s">
        <v>57</v>
      </c>
      <c r="D98" s="90"/>
      <c r="E98" s="46">
        <v>0</v>
      </c>
      <c r="F98" s="38"/>
      <c r="G98" s="178">
        <f>E101</f>
        <v>0</v>
      </c>
      <c r="H98" s="44"/>
      <c r="I98" s="44"/>
      <c r="J98" s="56"/>
      <c r="L98" s="31"/>
      <c r="M98" s="319">
        <v>0.12</v>
      </c>
      <c r="N98" s="225">
        <v>12</v>
      </c>
      <c r="O98" s="66">
        <v>0</v>
      </c>
      <c r="P98" s="2">
        <f>M98*N98*O98</f>
        <v>0</v>
      </c>
      <c r="Q98" s="35"/>
      <c r="R98" s="1"/>
      <c r="S98" s="31"/>
      <c r="T98" s="319">
        <v>0.12</v>
      </c>
      <c r="U98" s="225">
        <v>40.4</v>
      </c>
      <c r="V98" s="66">
        <v>1</v>
      </c>
      <c r="W98" s="2">
        <f>T98*U98*V98</f>
        <v>4.8479999999999999</v>
      </c>
      <c r="X98" s="35"/>
      <c r="Z98" s="31"/>
      <c r="AA98" s="319">
        <v>0.12</v>
      </c>
      <c r="AB98" s="225">
        <v>12</v>
      </c>
      <c r="AC98" s="66">
        <v>0</v>
      </c>
      <c r="AD98" s="2">
        <f>AA98*AB98*AC98</f>
        <v>0</v>
      </c>
      <c r="AE98" s="35"/>
      <c r="AF98" s="1"/>
      <c r="AG98" s="31"/>
      <c r="AH98" s="319">
        <v>0.12</v>
      </c>
      <c r="AI98" s="225">
        <v>0</v>
      </c>
      <c r="AJ98" s="66">
        <v>0</v>
      </c>
      <c r="AK98" s="2">
        <f>AH98*AI98*AJ98</f>
        <v>0</v>
      </c>
      <c r="AL98" s="35"/>
    </row>
    <row r="99" spans="2:38">
      <c r="B99" s="31"/>
      <c r="C99" s="72" t="s">
        <v>58</v>
      </c>
      <c r="D99" s="90"/>
      <c r="E99" s="46">
        <v>1</v>
      </c>
      <c r="F99" s="38"/>
      <c r="G99" s="38">
        <v>0</v>
      </c>
      <c r="H99" s="44"/>
      <c r="I99" s="44"/>
      <c r="J99" s="56"/>
      <c r="L99" s="31"/>
      <c r="M99" s="225">
        <v>0</v>
      </c>
      <c r="N99" s="225">
        <v>0</v>
      </c>
      <c r="O99" s="320">
        <v>0</v>
      </c>
      <c r="P99" s="2">
        <f t="shared" ref="P99:P104" si="8">M99*N99*O99</f>
        <v>0</v>
      </c>
      <c r="Q99" s="35"/>
      <c r="R99" s="1"/>
      <c r="S99" s="31"/>
      <c r="T99" s="225">
        <v>0</v>
      </c>
      <c r="U99" s="225">
        <v>0</v>
      </c>
      <c r="V99" s="320">
        <v>0</v>
      </c>
      <c r="W99" s="2">
        <f t="shared" ref="W99:W104" si="9">T99*U99*V99</f>
        <v>0</v>
      </c>
      <c r="X99" s="35"/>
      <c r="Z99" s="31"/>
      <c r="AA99" s="225">
        <v>0</v>
      </c>
      <c r="AB99" s="225">
        <v>0</v>
      </c>
      <c r="AC99" s="320">
        <v>0</v>
      </c>
      <c r="AD99" s="2">
        <f t="shared" ref="AD99:AD104" si="10">AA99*AB99*AC99</f>
        <v>0</v>
      </c>
      <c r="AE99" s="35"/>
      <c r="AF99" s="1"/>
      <c r="AG99" s="31"/>
      <c r="AH99" s="225">
        <v>0.12</v>
      </c>
      <c r="AI99" s="225">
        <v>0</v>
      </c>
      <c r="AJ99" s="320">
        <v>0</v>
      </c>
      <c r="AK99" s="2">
        <f t="shared" ref="AK99:AK104" si="11">AH99*AI99*AJ99</f>
        <v>0</v>
      </c>
      <c r="AL99" s="35"/>
    </row>
    <row r="100" spans="2:38">
      <c r="B100" s="116"/>
      <c r="C100" s="2" t="s">
        <v>53</v>
      </c>
      <c r="D100" s="49">
        <v>74</v>
      </c>
      <c r="E100" s="90">
        <f>1/14</f>
        <v>7.1428571428571425E-2</v>
      </c>
      <c r="F100" s="90"/>
      <c r="G100" s="90"/>
      <c r="H100" s="114"/>
      <c r="I100" s="90"/>
      <c r="J100" s="32"/>
      <c r="L100" s="31"/>
      <c r="M100" s="225">
        <v>0</v>
      </c>
      <c r="N100" s="225">
        <v>0</v>
      </c>
      <c r="O100" s="320">
        <v>0</v>
      </c>
      <c r="P100" s="2">
        <f t="shared" si="8"/>
        <v>0</v>
      </c>
      <c r="Q100" s="35"/>
      <c r="R100" s="1"/>
      <c r="S100" s="31"/>
      <c r="T100" s="225">
        <v>0</v>
      </c>
      <c r="U100" s="225">
        <v>0</v>
      </c>
      <c r="V100" s="320">
        <v>0</v>
      </c>
      <c r="W100" s="2">
        <f t="shared" si="9"/>
        <v>0</v>
      </c>
      <c r="X100" s="35"/>
      <c r="Z100" s="31"/>
      <c r="AA100" s="225">
        <v>0</v>
      </c>
      <c r="AB100" s="225">
        <v>0</v>
      </c>
      <c r="AC100" s="320">
        <v>0</v>
      </c>
      <c r="AD100" s="2">
        <f t="shared" si="10"/>
        <v>0</v>
      </c>
      <c r="AE100" s="35"/>
      <c r="AF100" s="1"/>
      <c r="AG100" s="31"/>
      <c r="AH100" s="225">
        <v>0.12</v>
      </c>
      <c r="AI100" s="225">
        <v>0</v>
      </c>
      <c r="AJ100" s="320">
        <v>0</v>
      </c>
      <c r="AK100" s="2">
        <f t="shared" si="11"/>
        <v>0</v>
      </c>
      <c r="AL100" s="35"/>
    </row>
    <row r="101" spans="2:38">
      <c r="B101" s="116"/>
      <c r="C101" s="2" t="s">
        <v>54</v>
      </c>
      <c r="D101" s="49">
        <v>0</v>
      </c>
      <c r="E101" s="90">
        <f>D102*E100</f>
        <v>0</v>
      </c>
      <c r="F101" s="90"/>
      <c r="G101" s="90"/>
      <c r="H101" s="90"/>
      <c r="I101" s="90"/>
      <c r="J101" s="32"/>
      <c r="L101" s="31"/>
      <c r="M101" s="225">
        <v>0</v>
      </c>
      <c r="N101" s="225">
        <v>0</v>
      </c>
      <c r="O101" s="320">
        <v>0</v>
      </c>
      <c r="P101" s="2">
        <f t="shared" si="8"/>
        <v>0</v>
      </c>
      <c r="Q101" s="35"/>
      <c r="R101" s="1"/>
      <c r="S101" s="31"/>
      <c r="T101" s="225">
        <v>0</v>
      </c>
      <c r="U101" s="225">
        <v>0</v>
      </c>
      <c r="V101" s="320">
        <v>0</v>
      </c>
      <c r="W101" s="2">
        <f t="shared" si="9"/>
        <v>0</v>
      </c>
      <c r="X101" s="35"/>
      <c r="Z101" s="31"/>
      <c r="AA101" s="225">
        <v>0</v>
      </c>
      <c r="AB101" s="225">
        <v>0</v>
      </c>
      <c r="AC101" s="320">
        <v>0</v>
      </c>
      <c r="AD101" s="2">
        <f t="shared" si="10"/>
        <v>0</v>
      </c>
      <c r="AE101" s="35"/>
      <c r="AF101" s="1"/>
      <c r="AG101" s="31"/>
      <c r="AH101" s="225">
        <v>0.12</v>
      </c>
      <c r="AI101" s="225">
        <v>0</v>
      </c>
      <c r="AJ101" s="320">
        <v>0</v>
      </c>
      <c r="AK101" s="2">
        <f t="shared" si="11"/>
        <v>0</v>
      </c>
      <c r="AL101" s="35"/>
    </row>
    <row r="102" spans="2:38" ht="16.8" thickBot="1">
      <c r="B102" s="107"/>
      <c r="C102" s="117" t="s">
        <v>55</v>
      </c>
      <c r="D102" s="165">
        <f>D101/D100*100</f>
        <v>0</v>
      </c>
      <c r="E102" s="109"/>
      <c r="F102" s="112"/>
      <c r="G102" s="109"/>
      <c r="H102" s="109"/>
      <c r="I102" s="109"/>
      <c r="J102" s="110"/>
      <c r="L102" s="31"/>
      <c r="M102" s="225">
        <v>0</v>
      </c>
      <c r="N102" s="225">
        <v>0</v>
      </c>
      <c r="O102" s="320">
        <v>0</v>
      </c>
      <c r="P102" s="2">
        <f t="shared" si="8"/>
        <v>0</v>
      </c>
      <c r="Q102" s="35"/>
      <c r="R102" s="1"/>
      <c r="S102" s="31"/>
      <c r="T102" s="225">
        <v>0</v>
      </c>
      <c r="U102" s="225">
        <v>0</v>
      </c>
      <c r="V102" s="320">
        <v>0</v>
      </c>
      <c r="W102" s="2">
        <f t="shared" si="9"/>
        <v>0</v>
      </c>
      <c r="X102" s="35"/>
      <c r="Z102" s="31"/>
      <c r="AA102" s="225">
        <v>0</v>
      </c>
      <c r="AB102" s="225">
        <v>0</v>
      </c>
      <c r="AC102" s="320">
        <v>0</v>
      </c>
      <c r="AD102" s="2">
        <f t="shared" si="10"/>
        <v>0</v>
      </c>
      <c r="AE102" s="35"/>
      <c r="AF102" s="1"/>
      <c r="AG102" s="31"/>
      <c r="AH102" s="225">
        <v>0.15</v>
      </c>
      <c r="AI102" s="225">
        <v>0</v>
      </c>
      <c r="AJ102" s="320">
        <v>0</v>
      </c>
      <c r="AK102" s="2">
        <f t="shared" si="11"/>
        <v>0</v>
      </c>
      <c r="AL102" s="35"/>
    </row>
    <row r="103" spans="2:38" ht="21.6" customHeight="1" thickBot="1">
      <c r="J103">
        <v>14</v>
      </c>
      <c r="L103" s="31"/>
      <c r="M103" s="225">
        <v>0</v>
      </c>
      <c r="N103" s="225">
        <v>0</v>
      </c>
      <c r="O103" s="320">
        <v>0</v>
      </c>
      <c r="P103" s="2">
        <f t="shared" si="8"/>
        <v>0</v>
      </c>
      <c r="Q103" s="35"/>
      <c r="R103" s="1"/>
      <c r="S103" s="31"/>
      <c r="T103" s="225">
        <v>0</v>
      </c>
      <c r="U103" s="225">
        <v>0</v>
      </c>
      <c r="V103" s="320">
        <v>0</v>
      </c>
      <c r="W103" s="2">
        <f t="shared" si="9"/>
        <v>0</v>
      </c>
      <c r="X103" s="35"/>
      <c r="Z103" s="31"/>
      <c r="AA103" s="225">
        <v>0</v>
      </c>
      <c r="AB103" s="225">
        <v>0</v>
      </c>
      <c r="AC103" s="320">
        <v>0</v>
      </c>
      <c r="AD103" s="2">
        <f t="shared" si="10"/>
        <v>0</v>
      </c>
      <c r="AE103" s="35"/>
      <c r="AF103" s="1"/>
      <c r="AG103" s="31"/>
      <c r="AH103" s="225">
        <v>0</v>
      </c>
      <c r="AI103" s="225">
        <v>0</v>
      </c>
      <c r="AJ103" s="320">
        <v>0</v>
      </c>
      <c r="AK103" s="2">
        <f t="shared" si="11"/>
        <v>0</v>
      </c>
      <c r="AL103" s="35"/>
    </row>
    <row r="104" spans="2:38">
      <c r="B104" s="123">
        <v>14</v>
      </c>
      <c r="C104" s="50" t="s">
        <v>59</v>
      </c>
      <c r="D104" s="51"/>
      <c r="E104" s="115" t="s">
        <v>70</v>
      </c>
      <c r="F104" s="53"/>
      <c r="G104" s="53" t="s">
        <v>6</v>
      </c>
      <c r="H104" s="50" t="s">
        <v>5</v>
      </c>
      <c r="I104" s="50"/>
      <c r="J104" s="54" t="s">
        <v>9</v>
      </c>
      <c r="L104" s="31"/>
      <c r="M104" s="225">
        <v>0</v>
      </c>
      <c r="N104" s="225">
        <v>0</v>
      </c>
      <c r="O104" s="320">
        <v>0</v>
      </c>
      <c r="P104" s="2">
        <f t="shared" si="8"/>
        <v>0</v>
      </c>
      <c r="Q104" s="35"/>
      <c r="R104" s="1"/>
      <c r="S104" s="31"/>
      <c r="T104" s="225">
        <v>0</v>
      </c>
      <c r="U104" s="225">
        <v>0</v>
      </c>
      <c r="V104" s="320">
        <v>0</v>
      </c>
      <c r="W104" s="2">
        <f t="shared" si="9"/>
        <v>0</v>
      </c>
      <c r="X104" s="35"/>
      <c r="Z104" s="31"/>
      <c r="AA104" s="225">
        <v>0</v>
      </c>
      <c r="AB104" s="225">
        <v>0</v>
      </c>
      <c r="AC104" s="320">
        <v>0</v>
      </c>
      <c r="AD104" s="2">
        <f t="shared" si="10"/>
        <v>0</v>
      </c>
      <c r="AE104" s="35"/>
      <c r="AF104" s="1"/>
      <c r="AG104" s="31"/>
      <c r="AH104" s="225">
        <v>0</v>
      </c>
      <c r="AI104" s="225">
        <v>0</v>
      </c>
      <c r="AJ104" s="320">
        <v>0</v>
      </c>
      <c r="AK104" s="2">
        <f t="shared" si="11"/>
        <v>0</v>
      </c>
      <c r="AL104" s="35"/>
    </row>
    <row r="105" spans="2:38" ht="19.8">
      <c r="B105" s="124"/>
      <c r="C105" s="45" t="s">
        <v>8</v>
      </c>
      <c r="D105" s="45">
        <v>4</v>
      </c>
      <c r="E105" s="63"/>
      <c r="F105" s="65"/>
      <c r="G105" s="65"/>
      <c r="H105" s="323"/>
      <c r="I105" s="48" t="s">
        <v>7</v>
      </c>
      <c r="J105" s="55">
        <f>J106+J107+J108</f>
        <v>4</v>
      </c>
      <c r="L105" s="329" t="s">
        <v>236</v>
      </c>
      <c r="M105" s="169"/>
      <c r="N105" s="169"/>
      <c r="O105" s="169"/>
      <c r="P105" s="169">
        <f>P98+P99+P100+P101+P102+P103+P104</f>
        <v>0</v>
      </c>
      <c r="Q105" s="35"/>
      <c r="R105" s="1"/>
      <c r="S105" s="329" t="s">
        <v>236</v>
      </c>
      <c r="T105" s="169"/>
      <c r="U105" s="169"/>
      <c r="V105" s="169"/>
      <c r="W105" s="169">
        <f>W98+W99+W100+W101+W102+W103+W104</f>
        <v>4.8479999999999999</v>
      </c>
      <c r="X105" s="32"/>
      <c r="Z105" s="329" t="s">
        <v>236</v>
      </c>
      <c r="AA105" s="169"/>
      <c r="AB105" s="169"/>
      <c r="AC105" s="169"/>
      <c r="AD105" s="169">
        <f>AD98+AD99+AD100+AD101+AD102+AD103+AD104</f>
        <v>0</v>
      </c>
      <c r="AE105" s="35"/>
      <c r="AF105" s="1"/>
      <c r="AG105" s="329" t="s">
        <v>236</v>
      </c>
      <c r="AH105" s="169"/>
      <c r="AI105" s="169"/>
      <c r="AJ105" s="169"/>
      <c r="AK105" s="169">
        <f>AK98+AK99+AK100+AK101+AK102+AK103+AK104</f>
        <v>0</v>
      </c>
      <c r="AL105" s="32"/>
    </row>
    <row r="106" spans="2:38" ht="16.8" thickBot="1">
      <c r="B106" s="124"/>
      <c r="C106" s="72" t="s">
        <v>140</v>
      </c>
      <c r="D106" s="90"/>
      <c r="E106" s="46">
        <v>1</v>
      </c>
      <c r="F106" s="66" t="s">
        <v>144</v>
      </c>
      <c r="G106" s="38">
        <v>1</v>
      </c>
      <c r="H106" s="44">
        <v>4</v>
      </c>
      <c r="I106" s="44"/>
      <c r="J106" s="324">
        <f>H106*G106*E106</f>
        <v>4</v>
      </c>
      <c r="L106" s="33"/>
      <c r="M106" s="59"/>
      <c r="N106" s="59"/>
      <c r="O106" s="59"/>
      <c r="P106" s="59"/>
      <c r="Q106" s="36"/>
      <c r="R106" s="1"/>
      <c r="S106" s="33"/>
      <c r="T106" s="59"/>
      <c r="U106" s="59"/>
      <c r="V106" s="59"/>
      <c r="W106" s="59"/>
      <c r="X106" s="34"/>
      <c r="Z106" s="33"/>
      <c r="AA106" s="59"/>
      <c r="AB106" s="59"/>
      <c r="AC106" s="59"/>
      <c r="AD106" s="59"/>
      <c r="AE106" s="36"/>
      <c r="AF106" s="1"/>
      <c r="AG106" s="33"/>
      <c r="AH106" s="59"/>
      <c r="AI106" s="59"/>
      <c r="AJ106" s="59"/>
      <c r="AK106" s="59"/>
      <c r="AL106" s="34"/>
    </row>
    <row r="107" spans="2:38">
      <c r="B107" s="124"/>
      <c r="C107" s="72" t="s">
        <v>142</v>
      </c>
      <c r="D107" s="90"/>
      <c r="E107" s="46">
        <v>0</v>
      </c>
      <c r="F107" s="38"/>
      <c r="G107" s="178">
        <f>E111</f>
        <v>0.3899999999999999</v>
      </c>
      <c r="H107" s="44"/>
      <c r="I107" s="44"/>
      <c r="J107" s="324">
        <f>G107*H106*E107</f>
        <v>0</v>
      </c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2:38" ht="16.8" thickBot="1">
      <c r="B108" s="124"/>
      <c r="C108" s="72" t="s">
        <v>141</v>
      </c>
      <c r="D108" s="90"/>
      <c r="E108" s="46">
        <v>0</v>
      </c>
      <c r="F108" s="38"/>
      <c r="G108" s="38">
        <v>0</v>
      </c>
      <c r="H108" s="44"/>
      <c r="I108" s="44"/>
      <c r="J108" s="324">
        <f>H106*G108*E108</f>
        <v>0</v>
      </c>
    </row>
    <row r="109" spans="2:38" ht="16.8" thickBot="1">
      <c r="B109" s="125"/>
      <c r="C109" s="2" t="s">
        <v>242</v>
      </c>
      <c r="D109" s="333">
        <v>10</v>
      </c>
      <c r="E109" s="90">
        <f>1/50</f>
        <v>0.02</v>
      </c>
      <c r="F109" s="90"/>
      <c r="G109" s="90"/>
      <c r="H109" s="114"/>
      <c r="I109" s="90"/>
      <c r="J109" s="32"/>
      <c r="L109" s="99" t="s">
        <v>238</v>
      </c>
      <c r="M109" s="282">
        <v>3.2</v>
      </c>
      <c r="N109" s="149" t="s">
        <v>239</v>
      </c>
      <c r="O109" s="149">
        <f>M109^3</f>
        <v>32.768000000000008</v>
      </c>
      <c r="P109" s="171"/>
    </row>
    <row r="110" spans="2:38" ht="16.8" thickBot="1">
      <c r="B110" s="125"/>
      <c r="C110" s="33" t="s">
        <v>143</v>
      </c>
      <c r="D110" s="334">
        <v>13.9</v>
      </c>
      <c r="E110" s="60">
        <f>D111/100</f>
        <v>1.39</v>
      </c>
      <c r="F110" s="60"/>
      <c r="G110" s="60"/>
      <c r="H110" s="60"/>
      <c r="I110" s="60"/>
      <c r="J110" s="34"/>
      <c r="L110" s="31" t="s">
        <v>240</v>
      </c>
      <c r="M110" s="250">
        <v>5</v>
      </c>
      <c r="N110" s="2" t="s">
        <v>239</v>
      </c>
      <c r="O110" s="2">
        <f>M110^3</f>
        <v>125</v>
      </c>
      <c r="P110" s="35"/>
      <c r="T110" s="99" t="s">
        <v>152</v>
      </c>
      <c r="U110" s="149"/>
      <c r="V110" s="149"/>
      <c r="W110" s="149"/>
      <c r="X110" s="149"/>
      <c r="Y110" s="171"/>
    </row>
    <row r="111" spans="2:38" ht="16.8" thickBot="1">
      <c r="B111" s="77"/>
      <c r="C111" s="120" t="s">
        <v>55</v>
      </c>
      <c r="D111" s="182">
        <f>D110/D109*100</f>
        <v>139</v>
      </c>
      <c r="E111" s="121">
        <f>E110-1</f>
        <v>0.3899999999999999</v>
      </c>
      <c r="F111" s="121"/>
      <c r="G111" s="121"/>
      <c r="H111" s="121"/>
      <c r="I111" s="121"/>
      <c r="J111" s="122"/>
      <c r="L111" s="31"/>
      <c r="M111" s="2"/>
      <c r="N111" s="2"/>
      <c r="O111" s="2">
        <f>(O110/O109)^0.5</f>
        <v>1.9531249999999998</v>
      </c>
      <c r="P111" s="35"/>
      <c r="R111" s="1"/>
      <c r="T111" s="31"/>
      <c r="U111" s="2"/>
      <c r="V111" s="2"/>
      <c r="W111" s="2"/>
      <c r="X111" s="2"/>
      <c r="Y111" s="35"/>
    </row>
    <row r="112" spans="2:38" ht="16.8" thickBot="1">
      <c r="J112">
        <v>15</v>
      </c>
      <c r="L112" s="33"/>
      <c r="M112" s="59"/>
      <c r="N112" s="59"/>
      <c r="O112" s="332">
        <f>O111*100</f>
        <v>195.31249999999997</v>
      </c>
      <c r="P112" s="331" t="s">
        <v>241</v>
      </c>
      <c r="R112" s="1"/>
      <c r="T112" s="31" t="s">
        <v>146</v>
      </c>
      <c r="U112" s="227" t="s">
        <v>147</v>
      </c>
      <c r="V112" s="249">
        <v>80</v>
      </c>
      <c r="W112" s="2" t="s">
        <v>148</v>
      </c>
      <c r="X112" s="38" t="s">
        <v>149</v>
      </c>
      <c r="Y112" s="252">
        <v>14</v>
      </c>
    </row>
    <row r="113" spans="2:25">
      <c r="B113" s="25">
        <v>15</v>
      </c>
      <c r="C113" s="5" t="s">
        <v>107</v>
      </c>
      <c r="D113" s="28"/>
      <c r="E113" s="74" t="s">
        <v>70</v>
      </c>
      <c r="F113" s="11"/>
      <c r="G113" s="12" t="s">
        <v>6</v>
      </c>
      <c r="H113" s="5" t="s">
        <v>5</v>
      </c>
      <c r="I113" s="6"/>
      <c r="J113" s="19" t="s">
        <v>9</v>
      </c>
      <c r="R113" s="1"/>
      <c r="T113" s="31"/>
      <c r="U113" s="227" t="s">
        <v>150</v>
      </c>
      <c r="V113" s="249">
        <v>80</v>
      </c>
      <c r="W113" s="2" t="s">
        <v>148</v>
      </c>
      <c r="X113" s="2"/>
      <c r="Y113" s="35">
        <f>V114*Y112</f>
        <v>168</v>
      </c>
    </row>
    <row r="114" spans="2:25" ht="19.8">
      <c r="B114" s="20"/>
      <c r="C114" s="29" t="s">
        <v>8</v>
      </c>
      <c r="D114" s="30">
        <v>4</v>
      </c>
      <c r="H114" s="17">
        <f>E115*G115+E116*G116+E117*G117+E118*G118</f>
        <v>0</v>
      </c>
      <c r="I114" s="18" t="s">
        <v>7</v>
      </c>
      <c r="J114" s="21">
        <f>D114*H114*E1/46618</f>
        <v>0</v>
      </c>
      <c r="R114" s="1"/>
      <c r="T114" s="31" t="s">
        <v>151</v>
      </c>
      <c r="U114" s="224" t="s">
        <v>147</v>
      </c>
      <c r="V114" s="225">
        <v>12</v>
      </c>
      <c r="W114" s="2" t="s">
        <v>148</v>
      </c>
      <c r="X114" s="2">
        <f>V115/Y113</f>
        <v>7.1428571428571432</v>
      </c>
      <c r="Y114" s="35" t="s">
        <v>153</v>
      </c>
    </row>
    <row r="115" spans="2:25">
      <c r="B115" s="20"/>
      <c r="C115" s="31" t="s">
        <v>60</v>
      </c>
      <c r="D115" s="32"/>
      <c r="E115" s="26">
        <v>0</v>
      </c>
      <c r="F115" s="75"/>
      <c r="G115" s="14">
        <v>1</v>
      </c>
      <c r="H115" s="8"/>
      <c r="I115" s="7"/>
      <c r="J115" s="22"/>
      <c r="R115" s="1"/>
      <c r="T115" s="31"/>
      <c r="U115" s="224" t="s">
        <v>150</v>
      </c>
      <c r="V115" s="225">
        <v>1200</v>
      </c>
      <c r="W115" s="2"/>
      <c r="X115" s="2"/>
      <c r="Y115" s="35"/>
    </row>
    <row r="116" spans="2:25">
      <c r="B116" s="20"/>
      <c r="C116" s="31" t="s">
        <v>61</v>
      </c>
      <c r="D116" s="32"/>
      <c r="E116" s="26">
        <v>0</v>
      </c>
      <c r="F116" s="75"/>
      <c r="G116" s="14">
        <v>0.67</v>
      </c>
      <c r="H116" s="8"/>
      <c r="I116" s="7"/>
      <c r="J116" s="22"/>
      <c r="R116" s="1"/>
      <c r="T116" s="31"/>
      <c r="U116" s="2">
        <f>V113*V113*V113*V112/12</f>
        <v>3413333.3333333335</v>
      </c>
      <c r="V116" s="2"/>
      <c r="W116" s="2"/>
      <c r="X116" s="2"/>
      <c r="Y116" s="35"/>
    </row>
    <row r="117" spans="2:25" ht="16.8" thickBot="1">
      <c r="B117" s="23"/>
      <c r="C117" s="33" t="s">
        <v>62</v>
      </c>
      <c r="D117" s="34"/>
      <c r="E117" s="26">
        <v>0</v>
      </c>
      <c r="F117" s="75"/>
      <c r="G117" s="14">
        <v>0.33</v>
      </c>
      <c r="H117" s="9"/>
      <c r="I117" s="10"/>
      <c r="J117" s="24"/>
      <c r="R117" s="1"/>
      <c r="T117" s="31"/>
      <c r="U117" s="2">
        <f>Y113*Y113*Y113*V114/12</f>
        <v>4741632</v>
      </c>
      <c r="V117" s="2"/>
      <c r="W117" s="2"/>
      <c r="X117" s="2"/>
      <c r="Y117" s="35"/>
    </row>
    <row r="118" spans="2:25" ht="16.8" thickBot="1">
      <c r="B118" s="23"/>
      <c r="C118" s="33" t="s">
        <v>63</v>
      </c>
      <c r="D118" s="34"/>
      <c r="E118" s="26">
        <v>0</v>
      </c>
      <c r="F118" s="75"/>
      <c r="G118" s="14">
        <v>0</v>
      </c>
      <c r="H118" s="9"/>
      <c r="I118" s="10"/>
      <c r="J118" s="24"/>
      <c r="R118" s="1"/>
      <c r="T118" s="31"/>
      <c r="U118" s="2">
        <f>U117*X114</f>
        <v>33868800</v>
      </c>
      <c r="V118" s="2"/>
      <c r="W118" s="2"/>
      <c r="X118" s="2"/>
      <c r="Y118" s="35"/>
    </row>
    <row r="119" spans="2:25" ht="16.8" thickBot="1">
      <c r="J119">
        <v>16</v>
      </c>
      <c r="R119" s="1"/>
      <c r="T119" s="31" t="s">
        <v>154</v>
      </c>
      <c r="U119" s="250">
        <v>16</v>
      </c>
      <c r="V119" s="2" t="s">
        <v>153</v>
      </c>
      <c r="W119" s="2">
        <f>U116*U119</f>
        <v>54613333.333333336</v>
      </c>
      <c r="X119" s="2">
        <f>U120*U118</f>
        <v>67737600</v>
      </c>
      <c r="Y119" s="35"/>
    </row>
    <row r="120" spans="2:25">
      <c r="B120" s="25">
        <v>16</v>
      </c>
      <c r="C120" s="5" t="s">
        <v>145</v>
      </c>
      <c r="D120" s="28"/>
      <c r="E120" s="74" t="s">
        <v>70</v>
      </c>
      <c r="F120" s="11"/>
      <c r="G120" s="12" t="s">
        <v>6</v>
      </c>
      <c r="H120" s="5" t="s">
        <v>5</v>
      </c>
      <c r="I120" s="6"/>
      <c r="J120" s="19" t="s">
        <v>9</v>
      </c>
      <c r="R120" s="1"/>
      <c r="T120" s="31" t="s">
        <v>155</v>
      </c>
      <c r="U120" s="250">
        <v>2</v>
      </c>
      <c r="V120" s="2" t="s">
        <v>156</v>
      </c>
      <c r="W120" s="2"/>
      <c r="X120" s="2"/>
      <c r="Y120" s="35"/>
    </row>
    <row r="121" spans="2:25" ht="19.8">
      <c r="B121" s="20"/>
      <c r="C121" s="29" t="s">
        <v>8</v>
      </c>
      <c r="D121" s="30">
        <v>8</v>
      </c>
      <c r="H121" s="17">
        <f>E122*G122+E123*G123+E124*G124+E125*G125</f>
        <v>0.33</v>
      </c>
      <c r="I121" s="18" t="s">
        <v>7</v>
      </c>
      <c r="J121" s="21">
        <f>D121*H121</f>
        <v>2.64</v>
      </c>
      <c r="R121" s="1"/>
      <c r="T121" s="31" t="s">
        <v>157</v>
      </c>
      <c r="U121" s="251">
        <f>X119/W119</f>
        <v>1.2403124999999999</v>
      </c>
      <c r="V121" s="227" t="s">
        <v>158</v>
      </c>
      <c r="W121" s="227">
        <f>1/U121</f>
        <v>0.80624842529604435</v>
      </c>
      <c r="X121" s="2"/>
      <c r="Y121" s="35"/>
    </row>
    <row r="122" spans="2:25" ht="16.8" thickBot="1">
      <c r="B122" s="20"/>
      <c r="C122" s="31" t="s">
        <v>64</v>
      </c>
      <c r="D122" s="32"/>
      <c r="E122" s="26">
        <v>0</v>
      </c>
      <c r="F122" s="75"/>
      <c r="G122" s="14">
        <v>1</v>
      </c>
      <c r="H122" s="8"/>
      <c r="I122" s="7"/>
      <c r="J122" s="22"/>
      <c r="T122" s="58"/>
      <c r="U122" s="60"/>
      <c r="V122" s="60"/>
      <c r="W122" s="60"/>
      <c r="X122" s="60"/>
      <c r="Y122" s="34"/>
    </row>
    <row r="123" spans="2:25">
      <c r="B123" s="20"/>
      <c r="C123" s="31" t="s">
        <v>61</v>
      </c>
      <c r="D123" s="32"/>
      <c r="E123" s="26">
        <v>0</v>
      </c>
      <c r="F123" s="75"/>
      <c r="G123" s="14">
        <v>0.67</v>
      </c>
      <c r="H123" s="8"/>
      <c r="I123" s="7"/>
      <c r="J123" s="22"/>
    </row>
    <row r="124" spans="2:25" ht="16.8" thickBot="1">
      <c r="B124" s="23"/>
      <c r="C124" s="33" t="s">
        <v>65</v>
      </c>
      <c r="D124" s="34"/>
      <c r="E124" s="26">
        <v>1</v>
      </c>
      <c r="F124" s="75"/>
      <c r="G124" s="14">
        <v>0.33</v>
      </c>
      <c r="H124" s="9"/>
      <c r="I124" s="10"/>
      <c r="J124" s="24"/>
    </row>
    <row r="125" spans="2:25" ht="16.8" thickBot="1">
      <c r="B125" s="23"/>
      <c r="C125" s="33" t="s">
        <v>63</v>
      </c>
      <c r="D125" s="34"/>
      <c r="E125" s="26">
        <v>0</v>
      </c>
      <c r="F125" s="75"/>
      <c r="G125" s="14">
        <v>0</v>
      </c>
      <c r="H125" s="9"/>
      <c r="I125" s="10"/>
      <c r="J125" s="24"/>
    </row>
    <row r="126" spans="2:25" ht="16.8" thickBot="1">
      <c r="J126">
        <v>17</v>
      </c>
    </row>
    <row r="127" spans="2:25">
      <c r="B127" s="25">
        <v>17</v>
      </c>
      <c r="C127" s="5" t="s">
        <v>66</v>
      </c>
      <c r="D127" s="28"/>
      <c r="E127" s="74" t="s">
        <v>70</v>
      </c>
      <c r="F127" s="11"/>
      <c r="G127" s="12" t="s">
        <v>6</v>
      </c>
      <c r="H127" s="5" t="s">
        <v>5</v>
      </c>
      <c r="I127" s="6"/>
      <c r="J127" s="19" t="s">
        <v>9</v>
      </c>
    </row>
    <row r="128" spans="2:25" ht="19.8">
      <c r="B128" s="20"/>
      <c r="C128" s="29" t="s">
        <v>8</v>
      </c>
      <c r="D128" s="30">
        <v>3</v>
      </c>
      <c r="E128" s="79"/>
      <c r="F128" s="79"/>
      <c r="G128" s="79"/>
      <c r="H128" s="17">
        <f>E129*G129+E130*G130+E131*G131+E132*G132</f>
        <v>0.4</v>
      </c>
      <c r="I128" s="18" t="s">
        <v>7</v>
      </c>
      <c r="J128" s="21">
        <f>D128*H128*E1/46618</f>
        <v>1.2000000000000002</v>
      </c>
    </row>
    <row r="129" spans="2:10">
      <c r="B129" s="20"/>
      <c r="C129" s="31" t="s">
        <v>67</v>
      </c>
      <c r="D129" s="32"/>
      <c r="E129" s="26">
        <v>0</v>
      </c>
      <c r="F129" s="75"/>
      <c r="G129" s="14">
        <v>1</v>
      </c>
      <c r="H129" s="8"/>
      <c r="I129" s="7"/>
      <c r="J129" s="22"/>
    </row>
    <row r="130" spans="2:10">
      <c r="B130" s="20"/>
      <c r="C130" s="31" t="s">
        <v>69</v>
      </c>
      <c r="D130" s="32"/>
      <c r="E130" s="26">
        <v>1</v>
      </c>
      <c r="F130" s="75">
        <f>E132</f>
        <v>0.4</v>
      </c>
      <c r="G130" s="14">
        <f>F130</f>
        <v>0.4</v>
      </c>
      <c r="H130" s="8"/>
      <c r="I130" s="7"/>
      <c r="J130" s="22"/>
    </row>
    <row r="131" spans="2:10" ht="16.8" thickBot="1">
      <c r="B131" s="23"/>
      <c r="C131" s="78" t="s">
        <v>68</v>
      </c>
      <c r="D131" s="131"/>
      <c r="E131" s="132">
        <v>0</v>
      </c>
      <c r="F131" s="133"/>
      <c r="G131" s="134">
        <v>0</v>
      </c>
      <c r="H131" s="135"/>
      <c r="I131" s="136"/>
      <c r="J131" s="137"/>
    </row>
    <row r="132" spans="2:10" ht="16.8" thickBot="1">
      <c r="B132" s="107"/>
      <c r="C132" s="138" t="s">
        <v>66</v>
      </c>
      <c r="D132" s="49">
        <v>20</v>
      </c>
      <c r="E132" s="90">
        <f>D132/50</f>
        <v>0.4</v>
      </c>
      <c r="F132" s="90"/>
      <c r="G132" s="90"/>
      <c r="H132" s="90"/>
      <c r="I132" s="90"/>
      <c r="J132" s="90"/>
    </row>
    <row r="133" spans="2:10" ht="16.8" thickBot="1">
      <c r="D133" s="1"/>
      <c r="J133">
        <v>18</v>
      </c>
    </row>
    <row r="134" spans="2:10">
      <c r="B134" s="25">
        <v>18</v>
      </c>
      <c r="C134" s="5" t="s">
        <v>71</v>
      </c>
      <c r="D134" s="6"/>
      <c r="E134" s="74" t="s">
        <v>70</v>
      </c>
      <c r="F134" s="11"/>
      <c r="G134" s="12" t="s">
        <v>6</v>
      </c>
      <c r="H134" s="5" t="s">
        <v>5</v>
      </c>
      <c r="I134" s="6"/>
      <c r="J134" s="19" t="s">
        <v>9</v>
      </c>
    </row>
    <row r="135" spans="2:10" ht="20.399999999999999" thickBot="1">
      <c r="B135" s="20"/>
      <c r="C135" s="140" t="s">
        <v>8</v>
      </c>
      <c r="D135" s="141">
        <v>5</v>
      </c>
      <c r="E135" s="79"/>
      <c r="F135" s="79"/>
      <c r="G135" s="79"/>
      <c r="H135" s="142">
        <f>E136*G136+E137*G137+E138*G138+E139*G139</f>
        <v>0</v>
      </c>
      <c r="I135" s="143" t="s">
        <v>7</v>
      </c>
      <c r="J135" s="144">
        <f>D135*H135*E1/46618</f>
        <v>0</v>
      </c>
    </row>
    <row r="136" spans="2:10">
      <c r="B136" s="99"/>
      <c r="C136" s="149" t="s">
        <v>74</v>
      </c>
      <c r="D136" s="149"/>
      <c r="E136" s="130">
        <v>0</v>
      </c>
      <c r="F136" s="150"/>
      <c r="G136" s="53">
        <v>1</v>
      </c>
      <c r="H136" s="50"/>
      <c r="I136" s="50"/>
      <c r="J136" s="54"/>
    </row>
    <row r="137" spans="2:10">
      <c r="B137" s="31"/>
      <c r="C137" s="2" t="s">
        <v>75</v>
      </c>
      <c r="D137" s="2"/>
      <c r="E137" s="46">
        <v>0</v>
      </c>
      <c r="F137" s="145"/>
      <c r="G137" s="38">
        <v>0.67</v>
      </c>
      <c r="H137" s="44"/>
      <c r="I137" s="44"/>
      <c r="J137" s="56"/>
    </row>
    <row r="138" spans="2:10">
      <c r="B138" s="31"/>
      <c r="C138" s="2" t="s">
        <v>76</v>
      </c>
      <c r="D138" s="2"/>
      <c r="E138" s="46">
        <v>0</v>
      </c>
      <c r="F138" s="145"/>
      <c r="G138" s="38">
        <v>0.33</v>
      </c>
      <c r="H138" s="44"/>
      <c r="I138" s="44"/>
      <c r="J138" s="56"/>
    </row>
    <row r="139" spans="2:10" ht="16.8" thickBot="1">
      <c r="B139" s="33"/>
      <c r="C139" s="59" t="s">
        <v>63</v>
      </c>
      <c r="D139" s="59"/>
      <c r="E139" s="61">
        <v>1</v>
      </c>
      <c r="F139" s="151"/>
      <c r="G139" s="152">
        <v>0</v>
      </c>
      <c r="H139" s="153"/>
      <c r="I139" s="153"/>
      <c r="J139" s="154"/>
    </row>
    <row r="140" spans="2:10">
      <c r="B140" s="146"/>
      <c r="C140" s="147" t="s">
        <v>72</v>
      </c>
      <c r="D140" s="287">
        <v>7810.93</v>
      </c>
      <c r="E140" s="118"/>
      <c r="F140" s="118"/>
      <c r="G140" s="118"/>
      <c r="H140" s="118"/>
      <c r="I140" s="118"/>
      <c r="J140" s="148"/>
    </row>
    <row r="141" spans="2:10" ht="16.8" thickBot="1">
      <c r="B141" s="58"/>
      <c r="C141" s="59" t="s">
        <v>73</v>
      </c>
      <c r="D141" s="119">
        <v>0</v>
      </c>
      <c r="E141" s="139">
        <f>D141/D140*100</f>
        <v>0</v>
      </c>
      <c r="F141" s="60"/>
      <c r="G141" s="60"/>
      <c r="H141" s="60"/>
      <c r="I141" s="60"/>
      <c r="J141" s="34"/>
    </row>
    <row r="143" spans="2:10" ht="16.8" thickBot="1"/>
    <row r="144" spans="2:10">
      <c r="B144" s="5" t="s">
        <v>77</v>
      </c>
      <c r="C144" s="50" t="s">
        <v>108</v>
      </c>
      <c r="D144" s="51"/>
      <c r="E144" s="52" t="s">
        <v>70</v>
      </c>
      <c r="F144" s="64"/>
      <c r="G144" s="53" t="s">
        <v>6</v>
      </c>
      <c r="H144" s="50" t="s">
        <v>5</v>
      </c>
      <c r="I144" s="50"/>
      <c r="J144" s="54" t="s">
        <v>9</v>
      </c>
    </row>
    <row r="145" spans="2:11" ht="19.8">
      <c r="B145" s="31"/>
      <c r="C145" s="45"/>
      <c r="D145" s="45" t="s">
        <v>78</v>
      </c>
      <c r="E145" s="63"/>
      <c r="F145" s="65">
        <f>D146*E146+D147*E147+D148*E148+D149*E149+D150*E150</f>
        <v>2</v>
      </c>
      <c r="G145" s="65"/>
      <c r="H145" s="47">
        <f>E149*G149+E146*G146+E147*G147+E148*G148</f>
        <v>2</v>
      </c>
      <c r="I145" s="48" t="s">
        <v>7</v>
      </c>
      <c r="J145" s="55">
        <f>H145</f>
        <v>2</v>
      </c>
    </row>
    <row r="146" spans="2:11">
      <c r="B146" s="31"/>
      <c r="C146" s="72" t="s">
        <v>189</v>
      </c>
      <c r="D146" s="49">
        <v>2</v>
      </c>
      <c r="E146" s="46">
        <v>1</v>
      </c>
      <c r="F146" s="38"/>
      <c r="G146" s="38">
        <f>D146</f>
        <v>2</v>
      </c>
      <c r="H146" s="44"/>
      <c r="I146" s="44"/>
      <c r="J146" s="56"/>
    </row>
    <row r="147" spans="2:11">
      <c r="B147" s="31"/>
      <c r="C147" s="72" t="s">
        <v>190</v>
      </c>
      <c r="D147" s="49">
        <v>2</v>
      </c>
      <c r="E147" s="46">
        <v>0</v>
      </c>
      <c r="F147" s="38"/>
      <c r="G147" s="38">
        <f>D147</f>
        <v>2</v>
      </c>
      <c r="H147" s="44"/>
      <c r="I147" s="44"/>
      <c r="J147" s="56"/>
    </row>
    <row r="148" spans="2:11">
      <c r="B148" s="31"/>
      <c r="C148" s="72" t="s">
        <v>191</v>
      </c>
      <c r="D148" s="49">
        <v>2</v>
      </c>
      <c r="E148" s="46">
        <v>0</v>
      </c>
      <c r="F148" s="66"/>
      <c r="G148" s="67">
        <f>D148</f>
        <v>2</v>
      </c>
      <c r="H148" s="83"/>
      <c r="I148" s="83"/>
      <c r="J148" s="57"/>
    </row>
    <row r="149" spans="2:11">
      <c r="B149" s="31"/>
      <c r="C149" s="72" t="s">
        <v>192</v>
      </c>
      <c r="D149" s="49">
        <v>2</v>
      </c>
      <c r="E149" s="46">
        <v>0</v>
      </c>
      <c r="F149" s="38"/>
      <c r="G149" s="38">
        <f>D149</f>
        <v>2</v>
      </c>
      <c r="H149" s="44"/>
      <c r="I149" s="44"/>
      <c r="J149" s="56"/>
    </row>
    <row r="150" spans="2:11" ht="16.8" thickBot="1">
      <c r="B150" s="33"/>
      <c r="C150" s="73" t="s">
        <v>193</v>
      </c>
      <c r="D150" s="119">
        <v>2</v>
      </c>
      <c r="E150" s="61">
        <v>0</v>
      </c>
      <c r="F150" s="152"/>
      <c r="G150" s="152">
        <f>D150</f>
        <v>2</v>
      </c>
      <c r="H150" s="153"/>
      <c r="I150" s="153"/>
      <c r="J150" s="154"/>
    </row>
    <row r="151" spans="2:11">
      <c r="B151" s="155"/>
      <c r="C151" s="127" t="s">
        <v>109</v>
      </c>
      <c r="D151" s="156"/>
      <c r="E151" s="157" t="s">
        <v>0</v>
      </c>
      <c r="F151" s="158"/>
      <c r="G151" s="126" t="s">
        <v>6</v>
      </c>
      <c r="H151" s="127" t="s">
        <v>5</v>
      </c>
      <c r="I151" s="127"/>
      <c r="J151" s="128" t="s">
        <v>9</v>
      </c>
    </row>
    <row r="152" spans="2:11" ht="19.8">
      <c r="B152" s="116"/>
      <c r="C152" s="45"/>
      <c r="D152" s="45" t="s">
        <v>78</v>
      </c>
      <c r="E152" s="63"/>
      <c r="F152" s="65">
        <f>D153*E153+D154*E154</f>
        <v>0</v>
      </c>
      <c r="G152" s="65"/>
      <c r="H152" s="47">
        <f>E156*G156+E153*G153+E154*G154+E155*G155</f>
        <v>0</v>
      </c>
      <c r="I152" s="48" t="s">
        <v>7</v>
      </c>
      <c r="J152" s="55">
        <f>H152</f>
        <v>0</v>
      </c>
      <c r="K152" s="279"/>
    </row>
    <row r="153" spans="2:11">
      <c r="B153" s="116"/>
      <c r="C153" s="72" t="s">
        <v>194</v>
      </c>
      <c r="D153" s="49">
        <v>-2</v>
      </c>
      <c r="E153" s="46">
        <v>0</v>
      </c>
      <c r="F153" s="38"/>
      <c r="G153" s="38">
        <f>D153</f>
        <v>-2</v>
      </c>
      <c r="H153" s="44"/>
      <c r="I153" s="44"/>
      <c r="J153" s="56"/>
    </row>
    <row r="154" spans="2:11" ht="16.8" thickBot="1">
      <c r="B154" s="58"/>
      <c r="C154" s="73" t="s">
        <v>195</v>
      </c>
      <c r="D154" s="119">
        <v>-2</v>
      </c>
      <c r="E154" s="61">
        <v>0</v>
      </c>
      <c r="F154" s="152"/>
      <c r="G154" s="152">
        <f>D154</f>
        <v>-2</v>
      </c>
      <c r="H154" s="153"/>
      <c r="I154" s="159"/>
      <c r="J154" s="160"/>
    </row>
    <row r="155" spans="2:11" ht="20.399999999999999" thickBot="1">
      <c r="I155" s="175" t="s">
        <v>94</v>
      </c>
      <c r="J155" s="254">
        <f>J145+J152</f>
        <v>2</v>
      </c>
      <c r="K155" s="286" t="s">
        <v>196</v>
      </c>
    </row>
    <row r="156" spans="2:11" ht="22.8" thickBot="1">
      <c r="I156" s="280" t="s">
        <v>177</v>
      </c>
      <c r="J156" s="255">
        <f>J155</f>
        <v>2</v>
      </c>
      <c r="K156" s="281" t="s">
        <v>178</v>
      </c>
    </row>
    <row r="157" spans="2:11" ht="16.8" thickBot="1"/>
    <row r="158" spans="2:11" ht="26.4" customHeight="1" thickBot="1">
      <c r="G158" s="266"/>
      <c r="H158" s="267"/>
      <c r="I158" s="268"/>
    </row>
    <row r="159" spans="2:11" ht="19.8">
      <c r="B159" s="162" t="s">
        <v>80</v>
      </c>
      <c r="C159" s="52"/>
      <c r="D159" s="170">
        <f>J4+J10+J16+J22+J28+J34+J40+J47+J55+J64+J71+J80+J96+J105+J114+J121+J128+J135</f>
        <v>36.229050347932869</v>
      </c>
      <c r="E159" s="171"/>
      <c r="G159" s="269" t="s">
        <v>197</v>
      </c>
      <c r="H159" s="270"/>
      <c r="I159" s="264" t="s">
        <v>83</v>
      </c>
    </row>
    <row r="160" spans="2:11" ht="24.6" customHeight="1">
      <c r="B160" s="163" t="s">
        <v>81</v>
      </c>
      <c r="C160" s="167"/>
      <c r="D160" s="168">
        <f>J156</f>
        <v>2</v>
      </c>
      <c r="E160" s="35"/>
      <c r="G160" s="269" t="s">
        <v>198</v>
      </c>
      <c r="H160" s="270"/>
      <c r="I160" s="264" t="s">
        <v>84</v>
      </c>
    </row>
    <row r="161" spans="2:9" ht="19.8">
      <c r="B161" s="31"/>
      <c r="C161" s="2"/>
      <c r="D161" s="2"/>
      <c r="E161" s="32"/>
      <c r="G161" s="269" t="s">
        <v>199</v>
      </c>
      <c r="H161" s="270"/>
      <c r="I161" s="264" t="s">
        <v>85</v>
      </c>
    </row>
    <row r="162" spans="2:9" ht="28.2">
      <c r="B162" s="164" t="s">
        <v>79</v>
      </c>
      <c r="C162" s="169" t="s">
        <v>169</v>
      </c>
      <c r="D162" s="173">
        <f>(D159+D160)*E1/46618</f>
        <v>38.229050347932869</v>
      </c>
      <c r="E162" s="56" t="s">
        <v>82</v>
      </c>
      <c r="G162" s="269" t="s">
        <v>200</v>
      </c>
      <c r="H162" s="270"/>
      <c r="I162" s="264" t="s">
        <v>86</v>
      </c>
    </row>
    <row r="163" spans="2:9" ht="20.399999999999999" thickBot="1">
      <c r="B163" s="33"/>
      <c r="C163" s="59"/>
      <c r="D163" s="172"/>
      <c r="E163" s="36"/>
      <c r="G163" s="271" t="s">
        <v>170</v>
      </c>
      <c r="H163" s="272"/>
      <c r="I163" s="265" t="s">
        <v>87</v>
      </c>
    </row>
    <row r="164" spans="2:9" ht="19.8">
      <c r="D164" s="190" t="s">
        <v>118</v>
      </c>
      <c r="E164" s="273" t="str">
        <f>IF(D162&lt;G159,"A")</f>
        <v>A</v>
      </c>
    </row>
    <row r="165" spans="2:9" ht="19.8">
      <c r="D165" s="191" t="s">
        <v>119</v>
      </c>
      <c r="E165" s="274" t="b">
        <f>IF(D162&gt;G159,"B")</f>
        <v>0</v>
      </c>
    </row>
    <row r="166" spans="2:9" ht="19.8">
      <c r="D166" s="191" t="s">
        <v>120</v>
      </c>
      <c r="E166" s="274" t="str">
        <f>IF(D162&lt;G161,"C")</f>
        <v>C</v>
      </c>
    </row>
    <row r="167" spans="2:9" ht="19.8">
      <c r="D167" s="191" t="s">
        <v>121</v>
      </c>
      <c r="E167" s="274" t="b">
        <f>IF(D162&gt;G161,"D")</f>
        <v>0</v>
      </c>
    </row>
    <row r="168" spans="2:9" ht="20.399999999999999" thickBot="1">
      <c r="D168" s="192" t="s">
        <v>122</v>
      </c>
      <c r="E168" s="274" t="b">
        <f>IF(D162&gt;G162,"E")</f>
        <v>0</v>
      </c>
    </row>
    <row r="169" spans="2:9" ht="16.8" thickBot="1">
      <c r="D169" s="166"/>
      <c r="E169" s="86" t="s">
        <v>88</v>
      </c>
    </row>
  </sheetData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圖表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Chart1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ASUS; 蘇啟東建築師</dc:creator>
  <cp:lastModifiedBy>ASUS</cp:lastModifiedBy>
  <dcterms:created xsi:type="dcterms:W3CDTF">2016-03-04T06:12:54Z</dcterms:created>
  <dcterms:modified xsi:type="dcterms:W3CDTF">2016-04-21T06:24:14Z</dcterms:modified>
  <cp:version>46618</cp:version>
</cp:coreProperties>
</file>